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210" windowHeight="7920" tabRatio="641" activeTab="0"/>
  </bookViews>
  <sheets>
    <sheet name="приложение 4" sheetId="1" r:id="rId1"/>
    <sheet name="приложение 5" sheetId="2" r:id="rId2"/>
    <sheet name="Приложение 13" sheetId="3" state="hidden" r:id="rId3"/>
    <sheet name="Лист1" sheetId="4" r:id="rId4"/>
  </sheets>
  <definedNames>
    <definedName name="_xlnm.Print_Titles" localSheetId="0">'приложение 4'!$10:$12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<sst xmlns="http://schemas.openxmlformats.org/spreadsheetml/2006/main" count="6696" uniqueCount="1013">
  <si>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</si>
  <si>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</si>
  <si>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</si>
  <si>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</si>
  <si>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</si>
  <si>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</si>
  <si>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</si>
  <si>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</si>
  <si>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</si>
  <si>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</si>
  <si>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</si>
  <si>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</si>
  <si>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</si>
  <si>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</si>
  <si>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</si>
  <si>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</si>
  <si>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</si>
  <si>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</si>
  <si>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</si>
  <si>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</si>
  <si>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</si>
  <si>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</si>
  <si>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</si>
  <si>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</si>
  <si>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</si>
  <si>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</si>
  <si>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</si>
  <si>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</si>
  <si>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</si>
  <si>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</si>
  <si>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</si>
  <si>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</si>
  <si>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51760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</si>
  <si>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</si>
  <si>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Проведение аварийно-спасательных мероприятий</t>
  </si>
  <si>
    <t>62030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</si>
  <si>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</si>
  <si>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</si>
  <si>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</si>
  <si>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</si>
  <si>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</si>
  <si>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</si>
  <si>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</si>
  <si>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</si>
  <si>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</si>
  <si>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</si>
  <si>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</si>
  <si>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</si>
  <si>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</si>
  <si>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</si>
  <si>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</si>
  <si>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</si>
  <si>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</si>
  <si>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</si>
  <si>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</si>
  <si>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</si>
  <si>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</si>
  <si>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</si>
  <si>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</si>
  <si>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</si>
  <si>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</si>
  <si>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</si>
  <si>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</si>
  <si>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</si>
  <si>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</si>
  <si>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</si>
  <si>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</si>
  <si>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</si>
  <si>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</si>
  <si>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</si>
  <si>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</si>
  <si>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>S1060</t>
  </si>
  <si>
    <t>Транспорт</t>
  </si>
  <si>
    <t>02000</t>
  </si>
  <si>
    <t>09 0 00 00000</t>
  </si>
  <si>
    <t>09 0 01 00000</t>
  </si>
  <si>
    <t>Выполнение других обязательств государства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</si>
  <si>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</si>
  <si>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</si>
  <si>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</si>
  <si>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50 0 00 00000</t>
  </si>
  <si>
    <t>0104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</si>
  <si>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</si>
  <si>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</si>
  <si>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</si>
  <si>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</si>
  <si>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</si>
  <si>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</si>
  <si>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</si>
  <si>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</si>
  <si>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</si>
  <si>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</si>
  <si>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</si>
  <si>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</si>
  <si>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</si>
  <si>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</si>
  <si>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</si>
  <si>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</si>
  <si>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</si>
  <si>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</si>
  <si>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</si>
  <si>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</si>
  <si>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</si>
  <si>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</si>
  <si>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</si>
  <si>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</si>
  <si>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</si>
  <si>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</si>
  <si>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</si>
  <si>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</si>
  <si>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</si>
  <si>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</si>
  <si>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</si>
  <si>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</si>
  <si>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</si>
  <si>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</si>
  <si>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</si>
  <si>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</si>
  <si>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</si>
  <si>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</si>
  <si>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</si>
  <si>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</si>
  <si>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</si>
  <si>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</si>
  <si>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</si>
  <si>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</si>
  <si>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</si>
  <si>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</si>
  <si>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</si>
  <si>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</si>
  <si>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</si>
  <si>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</si>
  <si>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</si>
  <si>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</si>
  <si>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</si>
  <si>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</si>
  <si>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</si>
  <si>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</si>
  <si>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</si>
  <si>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</si>
  <si>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</si>
  <si>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</si>
  <si>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</si>
  <si>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</si>
  <si>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</si>
  <si>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</si>
  <si>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</si>
  <si>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</si>
  <si>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</si>
  <si>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</si>
  <si>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</si>
  <si>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</si>
  <si>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</si>
  <si>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</si>
  <si>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</si>
  <si>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</si>
  <si>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</si>
  <si>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</si>
  <si>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</si>
  <si>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</si>
  <si>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</si>
  <si>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</si>
  <si>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</si>
  <si>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</si>
  <si>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</si>
  <si>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</si>
  <si>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</si>
  <si>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</si>
  <si>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</si>
  <si>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</si>
  <si>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</si>
  <si>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</si>
  <si>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</si>
  <si>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</si>
  <si>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</si>
  <si>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</si>
  <si>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</si>
  <si>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</si>
  <si>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</si>
  <si>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</si>
  <si>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</si>
  <si>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</si>
  <si>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</si>
  <si>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</si>
  <si>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</si>
  <si>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</si>
  <si>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</si>
  <si>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</si>
  <si>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</si>
  <si>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</si>
  <si>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</si>
  <si>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</si>
  <si>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</si>
  <si>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</si>
  <si>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</si>
  <si>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</si>
  <si>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</si>
  <si>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</si>
  <si>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</si>
  <si>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</si>
  <si>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</si>
  <si>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</si>
  <si>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28 0 00 00000</t>
  </si>
  <si>
    <t>32 0 01 S3040</t>
  </si>
  <si>
    <t>35 0 00 00000</t>
  </si>
  <si>
    <t>37 0 00 00000</t>
  </si>
  <si>
    <t>38 0 00 00000</t>
  </si>
  <si>
    <t>Бюджетные инвестиции</t>
  </si>
  <si>
    <t>"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</si>
  <si>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</si>
  <si>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</si>
  <si>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</si>
  <si>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</si>
  <si>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</si>
  <si>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</si>
  <si>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</si>
  <si>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</si>
  <si>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</si>
  <si>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</si>
  <si>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Другие вопросы в области национальной безопасности и правоохранительной деятельности</t>
  </si>
  <si>
    <t>2</t>
  </si>
  <si>
    <t>4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</si>
  <si>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</si>
  <si>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</si>
  <si>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</si>
  <si>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</si>
  <si>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</si>
  <si>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</si>
  <si>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</si>
  <si>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</si>
  <si>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</si>
  <si>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</si>
  <si>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5</t>
  </si>
  <si>
    <t>04</t>
  </si>
  <si>
    <t>02</t>
  </si>
  <si>
    <t>03</t>
  </si>
  <si>
    <t>06</t>
  </si>
  <si>
    <t>Стипендии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</si>
  <si>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</si>
  <si>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</si>
  <si>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</si>
  <si>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</si>
  <si>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</si>
  <si>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</si>
  <si>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</si>
  <si>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</si>
  <si>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</si>
  <si>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</si>
  <si>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</si>
  <si>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</si>
  <si>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</si>
  <si>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</si>
  <si>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</si>
  <si>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</si>
  <si>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</si>
  <si>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</si>
  <si>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</si>
  <si>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</si>
  <si>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</si>
  <si>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</si>
  <si>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</si>
  <si>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</si>
  <si>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</si>
  <si>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</si>
  <si>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</si>
  <si>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</si>
  <si>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</si>
  <si>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</si>
  <si>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</si>
  <si>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</si>
  <si>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</si>
  <si>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</si>
  <si>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</si>
  <si>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</si>
  <si>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</si>
  <si>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</si>
  <si>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</si>
  <si>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</si>
  <si>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</si>
  <si>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</si>
  <si>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</si>
  <si>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</si>
  <si>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</si>
  <si>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</si>
  <si>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</si>
  <si>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</si>
  <si>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</si>
  <si>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</si>
  <si>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</si>
  <si>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</si>
  <si>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</si>
  <si>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</si>
  <si>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</si>
  <si>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</si>
  <si>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</si>
  <si>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</si>
  <si>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</si>
  <si>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</si>
  <si>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</si>
  <si>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</si>
  <si>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</si>
  <si>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</si>
  <si>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</si>
  <si>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</si>
  <si>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</si>
  <si>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</si>
  <si>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</si>
  <si>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</si>
  <si>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</si>
  <si>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</si>
  <si>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</si>
  <si>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</si>
  <si>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</si>
  <si>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</si>
  <si>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Основное мероприятие "Содержание автомобильных дорог общего пользования муниципального значения"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</si>
  <si>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</si>
  <si>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</si>
  <si>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</si>
  <si>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</si>
  <si>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</si>
  <si>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</si>
  <si>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</si>
  <si>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</si>
  <si>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</si>
  <si>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</si>
  <si>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</si>
  <si>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</si>
  <si>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</si>
  <si>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</si>
  <si>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</si>
  <si>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</si>
  <si>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</si>
  <si>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</si>
  <si>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</si>
  <si>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Премии и гранты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</si>
  <si>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</si>
  <si>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</si>
  <si>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</si>
  <si>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</si>
  <si>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</si>
  <si>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</si>
  <si>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</si>
  <si>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</si>
  <si>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</si>
  <si>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</si>
  <si>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</si>
  <si>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</si>
  <si>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</si>
  <si>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</si>
  <si>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</si>
  <si>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</si>
  <si>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</si>
  <si>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</si>
  <si>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</si>
  <si>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</si>
  <si>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</si>
  <si>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</si>
  <si>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</si>
  <si>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</si>
  <si>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</si>
  <si>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</si>
  <si>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</si>
  <si>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</si>
  <si>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</si>
  <si>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</si>
  <si>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Строительство, реконструкция и капитальный ремонт централизованных систем водоснабжения и водоотведения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</si>
  <si>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</si>
  <si>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</si>
  <si>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</si>
  <si>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</si>
  <si>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</si>
  <si>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</si>
  <si>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</si>
  <si>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</si>
  <si>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</si>
  <si>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</si>
  <si>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</si>
  <si>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</si>
  <si>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</si>
  <si>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Муниципальная программа "Развитие системы образования Белозерского муниципального района на 2021-2025 годы"</t>
  </si>
  <si>
    <t>30 0 00 00000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</si>
  <si>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</si>
  <si>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</si>
  <si>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</si>
  <si>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</si>
  <si>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</si>
  <si>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</si>
  <si>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</si>
  <si>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</si>
  <si>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</si>
  <si>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</si>
  <si>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</si>
  <si>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</si>
  <si>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</si>
  <si>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</si>
  <si>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</si>
  <si>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</si>
  <si>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</si>
  <si>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</si>
  <si>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</si>
  <si>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</si>
  <si>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</si>
  <si>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</si>
  <si>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</si>
  <si>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</si>
  <si>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</si>
  <si>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</si>
  <si>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</si>
  <si>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</si>
  <si>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</si>
  <si>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</si>
  <si>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</si>
  <si>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</si>
  <si>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</si>
  <si>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</si>
  <si>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</si>
  <si>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</si>
  <si>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</si>
  <si>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</si>
  <si>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</si>
  <si>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</si>
  <si>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</si>
  <si>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</si>
  <si>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</si>
  <si>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</si>
  <si>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</si>
  <si>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</si>
  <si>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</si>
  <si>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</si>
  <si>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</si>
  <si>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</si>
  <si>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</si>
  <si>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</si>
  <si>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</si>
  <si>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</si>
  <si>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</si>
  <si>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</si>
  <si>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</si>
  <si>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</si>
  <si>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</si>
  <si>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</si>
  <si>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</si>
  <si>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Гражданская оборона</t>
  </si>
  <si>
    <t>23280</t>
  </si>
  <si>
    <t>20580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</si>
  <si>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</si>
  <si>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</si>
  <si>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</si>
  <si>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</si>
  <si>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S3370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</si>
  <si>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</si>
  <si>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</si>
  <si>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</si>
  <si>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18 0 00 00000</t>
  </si>
  <si>
    <t>18 0 05 00000</t>
  </si>
  <si>
    <t>18 0 05 S3150</t>
  </si>
  <si>
    <t>Реализация мероприятий проекта "Народный бюджет"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</si>
  <si>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</si>
  <si>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</si>
  <si>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</si>
  <si>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</si>
  <si>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</si>
  <si>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83030</t>
  </si>
  <si>
    <t>Публичные нормативные выплаты гражданам несоциального характера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</si>
  <si>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</si>
  <si>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</si>
  <si>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</si>
  <si>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</si>
  <si>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</si>
  <si>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t>Основное мероприятие "Приобретение дорожно-строительной техники"</t>
  </si>
  <si>
    <t>Приобретение дорожно-строительной техники</t>
  </si>
  <si>
    <t>47 0 07 00000</t>
  </si>
  <si>
    <t>47 0 07 03170</t>
  </si>
  <si>
    <t>Выплаты Почетным гражданам</t>
  </si>
  <si>
    <t>62050</t>
  </si>
  <si>
    <t>Муниципальная поддержка социально ориентированных некоммерческих организаций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</si>
  <si>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</si>
  <si>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Муниципальная программа "Поддержка социально ориентированных некоммерческих организаций в Белозерском муниципальном районе" на 2022-2025 годы</t>
  </si>
  <si>
    <t>52 0 00 00000</t>
  </si>
  <si>
    <t>Основное мероприятие "Реализация регионального проекта "Патриотическое воспитание граждан Российской Федерации"</t>
  </si>
  <si>
    <t>Проведение мероприятий по антитеррористической защищенности мест массового пребывания людей</t>
  </si>
  <si>
    <t>S1490</t>
  </si>
  <si>
    <t>Расходы на обеспечение питанием обучающихся с ОВЗ</t>
  </si>
  <si>
    <t>0102</t>
  </si>
  <si>
    <t>EВ</t>
  </si>
  <si>
    <t>Утверждены</t>
  </si>
  <si>
    <t>решением Представительного Собрания округа</t>
  </si>
  <si>
    <t>от ___________ № ___</t>
  </si>
  <si>
    <t>(Приложение 5)</t>
  </si>
  <si>
    <t>РАСХОДЫ</t>
  </si>
  <si>
    <t>Утверждено на год</t>
  </si>
  <si>
    <t>Исполнено</t>
  </si>
  <si>
    <t xml:space="preserve">    решением Представительного Собрания округа</t>
  </si>
  <si>
    <t xml:space="preserve">    от ___________ № ___</t>
  </si>
  <si>
    <t>тыс.рублей</t>
  </si>
  <si>
    <t>ИНФОРМАЦИЯ</t>
  </si>
  <si>
    <t>по муниципальным программам за 2022  год</t>
  </si>
  <si>
    <t>План</t>
  </si>
  <si>
    <t>Исполнение</t>
  </si>
  <si>
    <t>в том числе РБ</t>
  </si>
  <si>
    <t>% исполнения</t>
  </si>
  <si>
    <t>Представительное Собрание округа</t>
  </si>
  <si>
    <t>ОБЩЕГОСУДАРСТВЕННЫЕ ВОПРОСЫ</t>
  </si>
  <si>
    <t>Муниципальная  программа основных направлений кадровой  политики в Белозерском муниципальном округе на 2023 – 2027 годы</t>
  </si>
  <si>
    <t>СОЦИАЛЬНАЯ ПОЛИТИКА</t>
  </si>
  <si>
    <t xml:space="preserve">Социальное обеспечение населения </t>
  </si>
  <si>
    <t>Основное мероприятие «Комплекс стимулирующих мер по закреплению кадров в округе»</t>
  </si>
  <si>
    <t>Контрольно-счетная комиссия округа</t>
  </si>
  <si>
    <t>Администрация округа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</si>
  <si>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</si>
  <si>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16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</si>
  <si>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</si>
  <si>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</si>
  <si>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"Осуществление администрацией округа переданных отдельных государственных полномочий"</t>
  </si>
  <si>
    <t>Резервные фонды</t>
  </si>
  <si>
    <t>70</t>
  </si>
  <si>
    <t>Резервные фонды местных администраций</t>
  </si>
  <si>
    <t>Резервные средства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</si>
  <si>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</si>
  <si>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09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</si>
  <si>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</si>
  <si>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22270</t>
  </si>
  <si>
    <t>Основное мероприятие "Обеспечение деятельности учреждений, подведомственных администрации округа"</t>
  </si>
  <si>
    <t>НАЦИОНАЛЬНАЯ БЕЗОПАСНОСТЬ И ПРАВООХРАНИТЕЛЬНАЯ ДЕЯТЕЛЬНОСТЬ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</si>
  <si>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</si>
  <si>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Подпрограмма "Развитие системы комплексной безопасности жизнедеятельности населения Белозерского муниципального округа"</t>
  </si>
  <si>
    <t>Основное мероприятие " Обеспечение деятельности МКУ " Единая дежурно-диспетчерская служба Белозерского муниципального округа"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</si>
  <si>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</si>
  <si>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</si>
  <si>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23070</t>
  </si>
  <si>
    <t>Реализация мер по стимулированию участия населения в деятельности добровольческих народных дружин</t>
  </si>
  <si>
    <t>23080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</si>
  <si>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</si>
  <si>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</si>
  <si>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</si>
  <si>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НАЦИОНАЛЬНАЯ ЭКОНОМИКА</t>
  </si>
  <si>
    <t>Расходы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</si>
  <si>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97330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</si>
  <si>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</si>
  <si>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14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</si>
  <si>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</si>
  <si>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</si>
  <si>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</si>
  <si>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</si>
  <si>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12</t>
  </si>
  <si>
    <t>Основное мероприятие «Развитие малого и среднего предпринимательства на территории Белозерского муниципального округа»</t>
  </si>
  <si>
    <t>Основное мероприятие "Повышение инвестиционной привлекательности Белозерского муниципального округа"</t>
  </si>
  <si>
    <t>ЖИЛИЩНО-КОММУНАЛЬНОЕ ХОЗЯЙСТВО</t>
  </si>
  <si>
    <t>Взносы в ФКР</t>
  </si>
  <si>
    <t xml:space="preserve">Обеспечение мероприятий по переселению граждан из аварийного жилищного фонда за счет средств бюджета округа 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</si>
  <si>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</si>
  <si>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18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</si>
  <si>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</si>
  <si>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</si>
  <si>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24010</t>
  </si>
  <si>
    <t>Основное мероприятие "Ремонт водопроводных и канализационных сетей"</t>
  </si>
  <si>
    <t>Расходы на ремонт водопроводных путей</t>
  </si>
  <si>
    <t>24030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</si>
  <si>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</si>
  <si>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</si>
  <si>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24040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</si>
  <si>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 и (или) затрат на использование ( эксплуатацию) указанных объектов"</t>
  </si>
  <si>
    <t>Поддержка коммунального хозяйства</t>
  </si>
  <si>
    <t>23090</t>
  </si>
  <si>
    <t>Основное мероприятие "Строительство общественных колодцев"</t>
  </si>
  <si>
    <t>11</t>
  </si>
  <si>
    <t>Мероприятия по благоустройству</t>
  </si>
  <si>
    <t>23050</t>
  </si>
  <si>
    <t>Основное мероприятие «Обеспечение деятельности муниципального казенного предприятия Белозерского муниципального округа Вологодской области «Жилищно-коммунальное хозяйство»»</t>
  </si>
  <si>
    <t>Возмещение части затрат муниципальному казенному предприятию «Жилищно-коммунальное хозяйство»</t>
  </si>
  <si>
    <t>20670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</si>
  <si>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</si>
  <si>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13</t>
  </si>
  <si>
    <t>Основное мероприятие "Формирование комфортной городской среды в части благоустройства дворовых территорий "</t>
  </si>
  <si>
    <t>Реализация мероприятий по благоустройству общественных территорий</t>
  </si>
  <si>
    <t>Муниципальная программа "Благоустройство территории Белозерского муниципального округа" на 2023-2027 годы</t>
  </si>
  <si>
    <t>20</t>
  </si>
  <si>
    <t>Основное мероприятие " Организация мероприятий по благоустройству территорий населенных пунктов округа"</t>
  </si>
  <si>
    <t>Мероприятия по благоустройству территорий населенных пунктов</t>
  </si>
  <si>
    <t>Основное мероприятие "Организация уличного освещения"</t>
  </si>
  <si>
    <t>Организация уличного освещения</t>
  </si>
  <si>
    <t>S1090</t>
  </si>
  <si>
    <t>Муниципальная программа " Комплексное развитие сельских территорий Белозерского муниципального округа на 2023-2027 годы»</t>
  </si>
  <si>
    <t>21</t>
  </si>
  <si>
    <t>Основное мероприятие "Создание и развитие инфраструктуры на сельских территориях"</t>
  </si>
  <si>
    <t>Реализация мероприятий по развитию сельских территорий</t>
  </si>
  <si>
    <t>23040</t>
  </si>
  <si>
    <t xml:space="preserve">Основное мероприятие "Осуществление полномочий в части организации в границах округа электро-, тепло-, газо- и водоснабжения населения, водоотведения, снабжения населения топливом в пределах полномочий,установленных 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</si>
  <si>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</si>
  <si>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ОХРАНА ОКРУЖАЮЩЕЙ СРЕДЫ</t>
  </si>
  <si>
    <t>Сбор, удаление отходов и очистка сточных вод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</si>
  <si>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</si>
  <si>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</si>
  <si>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S3390</t>
  </si>
  <si>
    <t>Разработка проекта рекультивации земельных участков, занятых несанкционированными свалками</t>
  </si>
  <si>
    <t>Природноохранные мероприятия</t>
  </si>
  <si>
    <t>ОБРАЗОВАНИЕ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</si>
  <si>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</si>
  <si>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Муниципальная  программа «Развитие культуры Белозерского муниципального округа» на 2023 – 2027 годы</t>
  </si>
  <si>
    <t>08</t>
  </si>
  <si>
    <t>Муниципальная программа «Молодежь Белозерья» на 2023-2027 годы</t>
  </si>
  <si>
    <t>10</t>
  </si>
  <si>
    <t>Основное мероприятие "Повышение компетенций молодежи округа путем участия в областных молодежных форумах и мероприятиях"</t>
  </si>
  <si>
    <t xml:space="preserve">КУЛЬТУРА, КИНЕМАТОГРАФИЯ 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</si>
  <si>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</si>
  <si>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</si>
  <si>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S1960</t>
  </si>
  <si>
    <t>Комплектование книжных фондов муниципальных библиотек</t>
  </si>
  <si>
    <t>S1980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</si>
  <si>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</si>
  <si>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Основное мероприятие "Социальная поддержка отдельных категорий граждан и лиц, замещавших муниципальные должности и должности муниципальной службы в органах местного самоуправления Белозерского муниципального района (округа), граждан в добровольном порядке заключившим контракт о прохождении военной службы в ВС РФ, ветеранской организации округа"</t>
  </si>
  <si>
    <t>ЗДРАВООХРАНЕНИЕ</t>
  </si>
  <si>
    <t>Доплаты к пенсиям муниципальных служащих</t>
  </si>
  <si>
    <t>Основное мероприятие "Оказание поддержки молодым семьям округа"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</si>
  <si>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</si>
  <si>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Единовременная денежная выплата гражданам, в добровольном порядке заключившим контракт о прохождении военной службы в ВС РФ</t>
  </si>
  <si>
    <t>83040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</si>
  <si>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</si>
  <si>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17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</si>
  <si>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</si>
  <si>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</si>
  <si>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Белозерского муниципального округа» на 2023– 2027 годы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</si>
  <si>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бюджета округа</t>
  </si>
  <si>
    <t>Реализация мероприятий по обустройству объектов городской и сельской инфраструктуры для занятий физической культурой и спортом</t>
  </si>
  <si>
    <t>S3242</t>
  </si>
  <si>
    <t>Территориальное управление "Белозерское"</t>
  </si>
  <si>
    <t>Обеспечение деятельности территориального управления "Белозерское" по выполнению исполнительных функций по вопросам местного значения и финансовое обеспечение подведомственного учреждения</t>
  </si>
  <si>
    <t>0000</t>
  </si>
  <si>
    <t>Национальная оборона</t>
  </si>
  <si>
    <t>Мобилизационная и вневойсковая подготовка</t>
  </si>
  <si>
    <t>Обеспечение деятельности территориального управления "Белозерское"по выполнению исполнительных функций по вопросам местного значения и финансовое обеспечение подведомственного учреждения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</si>
  <si>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</si>
  <si>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</si>
  <si>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</si>
  <si>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09 </t>
  </si>
  <si>
    <t>Основное мероприятие " Обеспечение первичных мер пожарной безопасности в границах населенных пунктов ответственности ТУ администрации округа"</t>
  </si>
  <si>
    <t>Мероприятия по обеспечению мер пожарной безопасности</t>
  </si>
  <si>
    <t>23010</t>
  </si>
  <si>
    <t>Капитальный ремонт муниципального жилищного фонда</t>
  </si>
  <si>
    <t>21050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</si>
  <si>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</si>
  <si>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S1750</t>
  </si>
  <si>
    <t>Расходы на ремонт водопроводных сетей</t>
  </si>
  <si>
    <t>Расходы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</si>
  <si>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09505</t>
  </si>
  <si>
    <t xml:space="preserve">Расходы на обеспечение мероприятий по модернизации систем коммунальной инфраструктуры </t>
  </si>
  <si>
    <t>S9605</t>
  </si>
  <si>
    <t>Основное мероприятие "Инвентаризация и паспортизация водопроводных и канализационных сетей в г.Белозерск"</t>
  </si>
  <si>
    <t>Основное мероприятие "Реализация регионального проекта "Формирование комфортной городской среды" в части благоустройства дворовых и общественных территорий муниципальных образований области"</t>
  </si>
  <si>
    <t>Реализация мероприятий по благоустройству дворовых территорий</t>
  </si>
  <si>
    <t>55551</t>
  </si>
  <si>
    <t>Реализация мероприятий по цифровизации городского хозяйства</t>
  </si>
  <si>
    <t>55553</t>
  </si>
  <si>
    <t>Реализация мероприятий по благоустройству дворовых территорий многоквартирных домов</t>
  </si>
  <si>
    <t>71551</t>
  </si>
  <si>
    <t>Реализация мероприятий по благоустройству общественных пространств</t>
  </si>
  <si>
    <t>71552</t>
  </si>
  <si>
    <t>Основное мероприятие " Строительство сетей уличного освещения"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</si>
  <si>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</si>
  <si>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</si>
  <si>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</t>
  </si>
  <si>
    <t>Финансовое управление администрации округа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</si>
  <si>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</si>
  <si>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</si>
  <si>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</si>
  <si>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</si>
  <si>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</si>
  <si>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</si>
  <si>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</si>
  <si>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Управление имущественных отношений администрации округа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</si>
  <si>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</si>
  <si>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15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</si>
  <si>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</si>
  <si>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</si>
  <si>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Основное мероприятие "Паспортизация автомобильных дорог, на которые отсутствует регистрация права"</t>
  </si>
  <si>
    <t>Управление образования администрации округа</t>
  </si>
  <si>
    <t>Муниципальная программа «Развитие системы образования Белозерского муниципального округа на 2023-2027 годы»</t>
  </si>
  <si>
    <t>Расходы на строительство, реконструкцию, капитальный ремонт, ремонт и благоустройство территорий образовательных организаций муниципальной собственности</t>
  </si>
  <si>
    <t>S1940</t>
  </si>
  <si>
    <t>Основное мероприятие "Развитие  дополнительного образования детей, системы воспитания"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</si>
  <si>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</si>
  <si>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</si>
  <si>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</si>
  <si>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"Кадровое обеспечение системы образования округа"</t>
  </si>
  <si>
    <t>Основное мероприятие "Реализация регионального проекта "Современная школа"</t>
  </si>
  <si>
    <t>E1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</si>
  <si>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осуществляемых образовательную деятельность по адаптированным основным общеобразовательным программам.</t>
  </si>
  <si>
    <t>51720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</si>
  <si>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</si>
  <si>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52130</t>
  </si>
  <si>
    <t>Основное мероприятие "Предупреждение опасного поведения участников дорожного движения"</t>
  </si>
  <si>
    <t>Территориальное управление "Восточное"</t>
  </si>
  <si>
    <t xml:space="preserve">Обеспечение деятельности территориального управления "Восточное" по выполнению исполнительных функций по вопросам местного значения </t>
  </si>
  <si>
    <t xml:space="preserve">Обеспечение деятельности территориального управления "Восточное"по выполнению исполнительных функций по вопросам местного значения </t>
  </si>
  <si>
    <t>Мероприятий по благоустройству территорий населенных пунктов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</si>
  <si>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</si>
  <si>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</si>
  <si>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</si>
  <si>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673</t>
  </si>
  <si>
    <t>Территориальное управление "Западное"</t>
  </si>
  <si>
    <t xml:space="preserve">Обеспечение деятельности территориального управления "Западное"по выполнению исполнительных функций по вопросам местного значения </t>
  </si>
  <si>
    <t xml:space="preserve">Обеспечение деятельности территориального управления "Западное" по выполнению исполнительных функций по вопросам местного значения 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</si>
  <si>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</si>
  <si>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01 0 00 00000</t>
  </si>
  <si>
    <t>01 0 01 00000</t>
  </si>
  <si>
    <t>01 0 01 00190</t>
  </si>
  <si>
    <t>672</t>
  </si>
  <si>
    <t>01 0 02 00000</t>
  </si>
  <si>
    <t>01 0 02 00190</t>
  </si>
  <si>
    <t>01 0 02 12590</t>
  </si>
  <si>
    <t>01 0 03 00000</t>
  </si>
  <si>
    <t>01 0 03 00190</t>
  </si>
  <si>
    <t>01 0 03 13590</t>
  </si>
  <si>
    <t>01 0 04 00000</t>
  </si>
  <si>
    <t>01 0 04 00190</t>
  </si>
  <si>
    <t>01 0 04 12590</t>
  </si>
  <si>
    <t>01 0 04 13590</t>
  </si>
  <si>
    <t>01 0 04 15590</t>
  </si>
  <si>
    <t>668</t>
  </si>
  <si>
    <t>01 0 04 16590</t>
  </si>
  <si>
    <t>01 0 05 00000</t>
  </si>
  <si>
    <t>01 0 05 00190</t>
  </si>
  <si>
    <t>01 0 05 13590</t>
  </si>
  <si>
    <t>02 0 00 00000</t>
  </si>
  <si>
    <t>02 0 01 00000</t>
  </si>
  <si>
    <t>02 0 01 20210</t>
  </si>
  <si>
    <t>666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</si>
  <si>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</si>
  <si>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</si>
  <si>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</si>
  <si>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</si>
  <si>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</si>
  <si>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</si>
  <si>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</si>
  <si>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</si>
  <si>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03 0 02 00000</t>
  </si>
  <si>
    <t>03 0 02 16590</t>
  </si>
  <si>
    <t>03 0 02 70030</t>
  </si>
  <si>
    <t>03 0 03 00000</t>
  </si>
  <si>
    <t>03 0 03 23280</t>
  </si>
  <si>
    <t>03 0 03 S1760</t>
  </si>
  <si>
    <t>03 0 03 S3242</t>
  </si>
  <si>
    <t>03 0 03 S3280</t>
  </si>
  <si>
    <t>04 0 01 00190</t>
  </si>
  <si>
    <t>04 0 01 12590</t>
  </si>
  <si>
    <t>04 0 01 13590</t>
  </si>
  <si>
    <t>04 0 01 70030</t>
  </si>
  <si>
    <t>04 0 01 72010</t>
  </si>
  <si>
    <t>04 0 01 72020</t>
  </si>
  <si>
    <t>04 0 01 S1490</t>
  </si>
  <si>
    <t>04 0 02 00000</t>
  </si>
  <si>
    <t>04 0 02 00190</t>
  </si>
  <si>
    <t>04 0 02 13590</t>
  </si>
  <si>
    <t>04 0 02 53031</t>
  </si>
  <si>
    <t>04 0 02 70030</t>
  </si>
  <si>
    <t>04 0 02 72010</t>
  </si>
  <si>
    <t>04 0 02 72020</t>
  </si>
  <si>
    <t>04 0 02 L3041</t>
  </si>
  <si>
    <t>04 0 02 S1460</t>
  </si>
  <si>
    <t>04 0 02 S1490</t>
  </si>
  <si>
    <t>04 0 03 00190</t>
  </si>
  <si>
    <t>04 0 03 12590</t>
  </si>
  <si>
    <t>04 0 03 13590</t>
  </si>
  <si>
    <t>04 0 03 15590</t>
  </si>
  <si>
    <t>04 0 03 70030</t>
  </si>
  <si>
    <t>04 0 04 00190</t>
  </si>
  <si>
    <t>04 0 05 00190</t>
  </si>
  <si>
    <t>04 0 05 12590</t>
  </si>
  <si>
    <t>04 0 05 13590</t>
  </si>
  <si>
    <t>04 0 05 S1940</t>
  </si>
  <si>
    <t>04 0 06 00000</t>
  </si>
  <si>
    <t>04 0 06 00190</t>
  </si>
  <si>
    <t>04 0 06 55490</t>
  </si>
  <si>
    <t>04 0 06 70030</t>
  </si>
  <si>
    <t>04 0 E1 00000</t>
  </si>
  <si>
    <t>04 0 E1 51720</t>
  </si>
  <si>
    <t>04 0 E4 00000</t>
  </si>
  <si>
    <t>04 0 E4 52130</t>
  </si>
  <si>
    <t>04 0 ЕВ 00000</t>
  </si>
  <si>
    <t>04 0 ЕВ 51790</t>
  </si>
  <si>
    <t>05 0 00 00000</t>
  </si>
  <si>
    <t>05 0 01 00000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</si>
  <si>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</si>
  <si>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</si>
  <si>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</si>
  <si>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</si>
  <si>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</si>
  <si>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</si>
  <si>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</si>
  <si>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</si>
  <si>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</si>
  <si>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</si>
  <si>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</si>
  <si>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</si>
  <si>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</si>
  <si>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06 0 02 00000</t>
  </si>
  <si>
    <t>06 0 02 S3390</t>
  </si>
  <si>
    <t>0602</t>
  </si>
  <si>
    <t>06 0 02 S3370</t>
  </si>
  <si>
    <t>06 0 02 20110</t>
  </si>
  <si>
    <t>07 0 00 00000</t>
  </si>
  <si>
    <t>07 1 00 00000</t>
  </si>
  <si>
    <t>07 1 03 00000</t>
  </si>
  <si>
    <t>07 1 03 00190</t>
  </si>
  <si>
    <t>670</t>
  </si>
  <si>
    <t>07 3 00 00000</t>
  </si>
  <si>
    <t>07 3 01 00000</t>
  </si>
  <si>
    <t>07 3 01 00190</t>
  </si>
  <si>
    <t>07 3 01 55490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</si>
  <si>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</si>
  <si>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</si>
  <si>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</si>
  <si>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</si>
  <si>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</si>
  <si>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</si>
  <si>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</si>
  <si>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</si>
  <si>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</si>
  <si>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</si>
  <si>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</si>
  <si>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</si>
  <si>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</si>
  <si>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</si>
  <si>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</si>
  <si>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</si>
  <si>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</si>
  <si>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</si>
  <si>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</si>
  <si>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</si>
  <si>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</si>
  <si>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</si>
  <si>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</si>
  <si>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</si>
  <si>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</si>
  <si>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</si>
  <si>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</si>
  <si>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09 1 02 23080</t>
  </si>
  <si>
    <t>09 1 02 S1060</t>
  </si>
  <si>
    <t>09 1 03 00000</t>
  </si>
  <si>
    <t>09 1 03 23060</t>
  </si>
  <si>
    <t>09 2 00 00000</t>
  </si>
  <si>
    <t>09 2 01 00000</t>
  </si>
  <si>
    <t>09 2 01 72310</t>
  </si>
  <si>
    <t>09 3 00 00000</t>
  </si>
  <si>
    <t>09 3 01 00000</t>
  </si>
  <si>
    <t>09 3 01 23060</t>
  </si>
  <si>
    <t>09 3 04 00000</t>
  </si>
  <si>
    <t>09 3 04 23060</t>
  </si>
  <si>
    <t>09 4 00 00000</t>
  </si>
  <si>
    <t>09 4 01 00000</t>
  </si>
  <si>
    <t>09 4 01 00590</t>
  </si>
  <si>
    <t>09 4 01 70030</t>
  </si>
  <si>
    <t>09 4 02 00000</t>
  </si>
  <si>
    <t>09 4 02 23010</t>
  </si>
  <si>
    <t>0310</t>
  </si>
  <si>
    <t>674</t>
  </si>
  <si>
    <t>09 4 04 00000</t>
  </si>
  <si>
    <t>09 4 04 20030</t>
  </si>
  <si>
    <t>10 0 00 00000</t>
  </si>
  <si>
    <t>10 0 01 00000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</si>
  <si>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</si>
  <si>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</si>
  <si>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</si>
  <si>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</si>
  <si>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</si>
  <si>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</si>
  <si>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</si>
  <si>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</si>
  <si>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</si>
  <si>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</si>
  <si>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</si>
  <si>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</si>
  <si>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</si>
  <si>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</si>
  <si>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</si>
  <si>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</si>
  <si>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</si>
  <si>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</si>
  <si>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</si>
  <si>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</si>
  <si>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</si>
  <si>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669</t>
  </si>
  <si>
    <t>13 0 F2 55551</t>
  </si>
  <si>
    <t>13 0 F2 55553</t>
  </si>
  <si>
    <t>13 0 F2 71551</t>
  </si>
  <si>
    <t>13 0 F2 71552</t>
  </si>
  <si>
    <t>14 0 00 00000</t>
  </si>
  <si>
    <t>14 0 01 00000</t>
  </si>
  <si>
    <t>14 0 01 20300</t>
  </si>
  <si>
    <t>14 0 01 S1350</t>
  </si>
  <si>
    <t>14 0 02 00000</t>
  </si>
  <si>
    <t>14 0 02 20300</t>
  </si>
  <si>
    <t>671</t>
  </si>
  <si>
    <t>14 0 03 00000</t>
  </si>
  <si>
    <t>14 0 03 20300</t>
  </si>
  <si>
    <t>14 0 03 S1350</t>
  </si>
  <si>
    <t>14 0 04 00000</t>
  </si>
  <si>
    <t>14 0 04 S1360</t>
  </si>
  <si>
    <t>14 0 05 00000</t>
  </si>
  <si>
    <t>14 0 05 20300</t>
  </si>
  <si>
    <t>15 0 00 00000</t>
  </si>
  <si>
    <t>15 0 01 00000</t>
  </si>
  <si>
    <t>15 0 01 20520</t>
  </si>
  <si>
    <t>15 0 02 00000</t>
  </si>
  <si>
    <t>15 0 02 20510</t>
  </si>
  <si>
    <t>15 0 03 00000</t>
  </si>
  <si>
    <t>15 0 03 20530</t>
  </si>
  <si>
    <t>15 0 04 00000</t>
  </si>
  <si>
    <t>15 0 04 00190</t>
  </si>
  <si>
    <t>15 0 04 55490</t>
  </si>
  <si>
    <t>15 0 04 70030</t>
  </si>
  <si>
    <t>15 0 P1 00000</t>
  </si>
  <si>
    <t>15 0 P1 72300</t>
  </si>
  <si>
    <t>16 0 00 00000</t>
  </si>
  <si>
    <t>Основное мероприятие "Обеспечение деятельности структурных подразделений администрации округа по исполнению полномочий по решению вопросов местного значения"</t>
  </si>
  <si>
    <t>16 0 01 00000</t>
  </si>
  <si>
    <t>16 0 01 00190</t>
  </si>
  <si>
    <t>16 0 01 22270</t>
  </si>
  <si>
    <t>16 0 01 55490</t>
  </si>
  <si>
    <t>16 0 01 70030</t>
  </si>
  <si>
    <t>16 0 01 S2270</t>
  </si>
  <si>
    <t>16 0 01 02000</t>
  </si>
  <si>
    <t>16 0 02 00000</t>
  </si>
  <si>
    <t>16 0 02 00190</t>
  </si>
  <si>
    <t>16 0 02 22270</t>
  </si>
  <si>
    <t>16 0 02 55490</t>
  </si>
  <si>
    <t>16 0 02 70030</t>
  </si>
  <si>
    <t>16 0 02 51180</t>
  </si>
  <si>
    <t>0203</t>
  </si>
  <si>
    <t>16 0 02 00590</t>
  </si>
  <si>
    <t>16 0 02 02000</t>
  </si>
  <si>
    <t>16 0 02 21050</t>
  </si>
  <si>
    <t>16 0 02 90010</t>
  </si>
  <si>
    <t>16 0 02 83010</t>
  </si>
  <si>
    <t>16 0 02 S1750</t>
  </si>
  <si>
    <t>16 0 02 S2270</t>
  </si>
  <si>
    <t>16 0 03 00000</t>
  </si>
  <si>
    <t>16 0 03 00190</t>
  </si>
  <si>
    <t>16 0 03 22270</t>
  </si>
  <si>
    <t>16 0 03 23060</t>
  </si>
  <si>
    <t>16 0 03 70030</t>
  </si>
  <si>
    <t>16 0 03 51180</t>
  </si>
  <si>
    <t>16 0 03 83010</t>
  </si>
  <si>
    <t>16 0 03 90010</t>
  </si>
  <si>
    <t>16 0 03 S2270</t>
  </si>
  <si>
    <t>16 0 04 00000</t>
  </si>
  <si>
    <t>16 0 04 00190</t>
  </si>
  <si>
    <t>16 0 04 22270</t>
  </si>
  <si>
    <t>16 0 04 55490</t>
  </si>
  <si>
    <t>16 0 04 70030</t>
  </si>
  <si>
    <t>16 0 04 51180</t>
  </si>
  <si>
    <t>16 0 04 90010</t>
  </si>
  <si>
    <t>16 0 04 83010</t>
  </si>
  <si>
    <t>16 0 04 S2270</t>
  </si>
  <si>
    <t>16 0 05 00000</t>
  </si>
  <si>
    <t>16 0 05 51200</t>
  </si>
  <si>
    <t>16 0 05 51760</t>
  </si>
  <si>
    <t>16 0 05 72190</t>
  </si>
  <si>
    <t>16 0 05 72310</t>
  </si>
  <si>
    <t xml:space="preserve">16 0 05 S1370 </t>
  </si>
  <si>
    <t>16 0 05 72110</t>
  </si>
  <si>
    <t>16 0 05 72230</t>
  </si>
  <si>
    <t>16 0 05 97330</t>
  </si>
  <si>
    <t>16 0 06 00000</t>
  </si>
  <si>
    <t>16 0 06 00590</t>
  </si>
  <si>
    <t>16 0 06 70030</t>
  </si>
  <si>
    <t>16 0 06 72250</t>
  </si>
  <si>
    <t>16 0 07 00000</t>
  </si>
  <si>
    <t>16 0 07 62030</t>
  </si>
  <si>
    <t>16 0 07 83010</t>
  </si>
  <si>
    <t>16 0 07 83020</t>
  </si>
  <si>
    <t>16 0 07 83040</t>
  </si>
  <si>
    <t>17 0 00 00000</t>
  </si>
  <si>
    <t>17 0 01 00000</t>
  </si>
  <si>
    <t>17 0 01 62050</t>
  </si>
  <si>
    <t>Основное мероприятие "Осуществление полномочий в части организации в границах округа электро-, тепло-, газо- и водоснабжения населения, водоотведения, снабжения населения топливом в пределах полномочий,установленных законодательством РФ""</t>
  </si>
  <si>
    <t>18 0 01 00000</t>
  </si>
  <si>
    <t>18 0 01 90020</t>
  </si>
  <si>
    <t>18 0 02 00000</t>
  </si>
  <si>
    <t>18 0 02 24010</t>
  </si>
  <si>
    <t>18 0 04 00000</t>
  </si>
  <si>
    <t>18 0 04 24030</t>
  </si>
  <si>
    <t>18 0 04 09505</t>
  </si>
  <si>
    <t>18 0 04 S9605</t>
  </si>
  <si>
    <t>18 0 05 24040</t>
  </si>
  <si>
    <t>18 0 09 00000</t>
  </si>
  <si>
    <t>18 0 09 23090</t>
  </si>
  <si>
    <t>18 0 10 00000</t>
  </si>
  <si>
    <t>18 0 10 24030</t>
  </si>
  <si>
    <t>18 0 11 00000</t>
  </si>
  <si>
    <t>18 0 11 23050</t>
  </si>
  <si>
    <t>18 0 12 00000</t>
  </si>
  <si>
    <t>18 0 12 20670</t>
  </si>
  <si>
    <t>20 0 00 00000</t>
  </si>
  <si>
    <t>20 0 01 00000</t>
  </si>
  <si>
    <t>20 0 01 23050</t>
  </si>
  <si>
    <t>20 0 03 00000</t>
  </si>
  <si>
    <t>20 0 03 S1090</t>
  </si>
  <si>
    <t>20 0 04 00000</t>
  </si>
  <si>
    <t>20 0 04 S1400</t>
  </si>
  <si>
    <t>20 0 05 00000</t>
  </si>
  <si>
    <t>20 0 05 23050</t>
  </si>
  <si>
    <t>20 0 F2 55553</t>
  </si>
  <si>
    <t>21 0 00 00000</t>
  </si>
  <si>
    <t>21 0 02 00000</t>
  </si>
  <si>
    <t>21 0 02 23040</t>
  </si>
  <si>
    <t xml:space="preserve">0503 </t>
  </si>
  <si>
    <t>Обеспечение мероприятий по переселению граждан из аварийного жилищного фонда за счет средств бюджета округа</t>
  </si>
  <si>
    <t>610</t>
  </si>
  <si>
    <t xml:space="preserve">  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</si>
  <si>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округа на 2023 год</t>
  </si>
  <si>
    <t>муниципальных целевых программ, финансируемых из  бюджета округа  в 2023  году</t>
  </si>
  <si>
    <t xml:space="preserve">    (Приложение 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</si>
</sst>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  <numFmt numFmtId="186" formatCode="#,##0.00\ &quot;₽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173" fontId="11" fillId="0" borderId="11" xfId="53" applyNumberFormat="1" applyFont="1" applyFill="1" applyBorder="1" applyAlignment="1" applyProtection="1">
      <alignment horizontal="center" vertical="top"/>
      <protection hidden="1"/>
    </xf>
    <xf numFmtId="174" fontId="11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173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0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1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3" fontId="19" fillId="0" borderId="22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5" xfId="53" applyNumberFormat="1" applyFont="1" applyFill="1" applyBorder="1" applyAlignment="1" applyProtection="1">
      <alignment wrapText="1"/>
      <protection hidden="1"/>
    </xf>
    <xf numFmtId="176" fontId="19" fillId="0" borderId="22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3" xfId="53" applyNumberFormat="1" applyFont="1" applyFill="1" applyBorder="1" applyAlignment="1" applyProtection="1">
      <alignment wrapText="1"/>
      <protection hidden="1"/>
    </xf>
    <xf numFmtId="173" fontId="19" fillId="0" borderId="11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1" xfId="53" applyNumberFormat="1" applyFont="1" applyFill="1" applyBorder="1" applyAlignment="1" applyProtection="1">
      <alignment horizontal="center" vertical="top"/>
      <protection hidden="1"/>
    </xf>
    <xf numFmtId="0" fontId="19" fillId="0" borderId="11" xfId="53" applyNumberFormat="1" applyFont="1" applyFill="1" applyBorder="1" applyAlignment="1" applyProtection="1">
      <alignment vertical="top" wrapText="1"/>
      <protection hidden="1"/>
    </xf>
    <xf numFmtId="175" fontId="19" fillId="0" borderId="22" xfId="53" applyNumberFormat="1" applyFont="1" applyFill="1" applyBorder="1" applyAlignment="1" applyProtection="1">
      <alignment wrapText="1"/>
      <protection hidden="1"/>
    </xf>
    <xf numFmtId="175" fontId="19" fillId="0" borderId="15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5" xfId="53" applyNumberFormat="1" applyFont="1" applyFill="1" applyBorder="1" applyAlignment="1" applyProtection="1">
      <alignment wrapText="1"/>
      <protection hidden="1"/>
    </xf>
    <xf numFmtId="173" fontId="19" fillId="0" borderId="15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3" fillId="0" borderId="22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2" xfId="53" applyNumberFormat="1" applyFont="1" applyFill="1" applyBorder="1" applyAlignment="1" applyProtection="1">
      <alignment wrapText="1"/>
      <protection hidden="1"/>
    </xf>
    <xf numFmtId="173" fontId="13" fillId="0" borderId="15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center" vertical="top"/>
      <protection/>
    </xf>
    <xf numFmtId="0" fontId="16" fillId="0" borderId="0" xfId="53" applyFont="1" applyFill="1">
      <alignment/>
      <protection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83" fontId="3" fillId="0" borderId="11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3" xfId="53" applyNumberFormat="1" applyFont="1" applyFill="1" applyBorder="1" applyAlignment="1" applyProtection="1">
      <alignment wrapText="1"/>
      <protection hidden="1"/>
    </xf>
    <xf numFmtId="173" fontId="14" fillId="0" borderId="1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183" fontId="24" fillId="0" borderId="11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1" xfId="0" applyFont="1" applyFill="1" applyBorder="1" applyAlignment="1">
      <alignment/>
    </xf>
    <xf numFmtId="0" fontId="24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183" fontId="26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21" fillId="0" borderId="11" xfId="0" applyFont="1" applyFill="1" applyBorder="1" applyAlignment="1">
      <alignment vertical="top" wrapText="1"/>
    </xf>
    <xf numFmtId="0" fontId="11" fillId="0" borderId="0" xfId="53" applyFont="1" applyFill="1" applyAlignment="1">
      <alignment horizontal="justify" vertical="top"/>
      <protection/>
    </xf>
    <xf numFmtId="1" fontId="11" fillId="0" borderId="11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1" xfId="0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1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horizontal="left" wrapText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0" fontId="24" fillId="0" borderId="11" xfId="0" applyFont="1" applyFill="1" applyBorder="1" applyAlignment="1">
      <alignment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173" fontId="23" fillId="0" borderId="13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Alignment="1">
      <alignment horizontal="left" vertical="top"/>
      <protection/>
    </xf>
    <xf numFmtId="0" fontId="29" fillId="0" borderId="0" xfId="53" applyFont="1" applyFill="1" applyAlignment="1">
      <alignment horizontal="center" vertical="top"/>
      <protection/>
    </xf>
    <xf numFmtId="49" fontId="29" fillId="0" borderId="0" xfId="53" applyNumberFormat="1" applyFont="1" applyFill="1" applyAlignment="1">
      <alignment horizontal="center" vertical="top"/>
      <protection/>
    </xf>
    <xf numFmtId="183" fontId="29" fillId="0" borderId="0" xfId="53" applyNumberFormat="1" applyFont="1" applyFill="1" applyAlignment="1">
      <alignment horizontal="center" vertical="top"/>
      <protection/>
    </xf>
    <xf numFmtId="183" fontId="4" fillId="0" borderId="0" xfId="53" applyNumberFormat="1" applyFont="1" applyFill="1" applyAlignment="1">
      <alignment horizontal="center" vertical="top"/>
      <protection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Font="1" applyFill="1" applyAlignment="1">
      <alignment horizontal="center" vertical="top"/>
      <protection/>
    </xf>
    <xf numFmtId="49" fontId="4" fillId="0" borderId="0" xfId="53" applyNumberFormat="1" applyFont="1" applyFill="1" applyAlignment="1">
      <alignment horizontal="center" vertical="top"/>
      <protection/>
    </xf>
    <xf numFmtId="183" fontId="11" fillId="0" borderId="22" xfId="53" applyNumberFormat="1" applyFont="1" applyFill="1" applyBorder="1" applyAlignment="1">
      <alignment horizontal="right" vertical="top"/>
      <protection/>
    </xf>
    <xf numFmtId="0" fontId="11" fillId="0" borderId="0" xfId="53" applyFont="1" applyFill="1" applyBorder="1" applyProtection="1">
      <alignment/>
      <protection hidden="1"/>
    </xf>
    <xf numFmtId="183" fontId="11" fillId="0" borderId="0" xfId="53" applyNumberFormat="1" applyFont="1" applyFill="1" applyBorder="1" applyAlignment="1" applyProtection="1">
      <alignment horizontal="right" vertical="top"/>
      <protection hidden="1"/>
    </xf>
    <xf numFmtId="183" fontId="11" fillId="0" borderId="0" xfId="53" applyNumberFormat="1" applyFont="1" applyFill="1" applyBorder="1" applyAlignment="1">
      <alignment horizontal="right" vertical="top"/>
      <protection/>
    </xf>
    <xf numFmtId="183" fontId="4" fillId="0" borderId="0" xfId="0" applyNumberFormat="1" applyFont="1" applyFill="1" applyAlignment="1">
      <alignment horizontal="left"/>
    </xf>
    <xf numFmtId="183" fontId="30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183" fontId="14" fillId="33" borderId="11" xfId="0" applyNumberFormat="1" applyFont="1" applyFill="1" applyBorder="1" applyAlignment="1">
      <alignment/>
    </xf>
    <xf numFmtId="183" fontId="11" fillId="33" borderId="11" xfId="0" applyNumberFormat="1" applyFont="1" applyFill="1" applyBorder="1" applyAlignment="1">
      <alignment/>
    </xf>
    <xf numFmtId="183" fontId="14" fillId="0" borderId="11" xfId="0" applyNumberFormat="1" applyFont="1" applyFill="1" applyBorder="1" applyAlignment="1">
      <alignment/>
    </xf>
    <xf numFmtId="183" fontId="11" fillId="0" borderId="11" xfId="0" applyNumberFormat="1" applyFont="1" applyFill="1" applyBorder="1" applyAlignment="1">
      <alignment/>
    </xf>
    <xf numFmtId="183" fontId="27" fillId="0" borderId="11" xfId="0" applyNumberFormat="1" applyFont="1" applyFill="1" applyBorder="1" applyAlignment="1">
      <alignment/>
    </xf>
    <xf numFmtId="183" fontId="30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4" fontId="15" fillId="0" borderId="11" xfId="0" applyNumberFormat="1" applyFont="1" applyFill="1" applyBorder="1" applyAlignment="1">
      <alignment horizontal="center"/>
    </xf>
    <xf numFmtId="183" fontId="15" fillId="0" borderId="11" xfId="0" applyNumberFormat="1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vertical="top" wrapText="1"/>
    </xf>
    <xf numFmtId="183" fontId="18" fillId="0" borderId="0" xfId="53" applyNumberFormat="1" applyFont="1" applyFill="1">
      <alignment/>
      <protection/>
    </xf>
    <xf numFmtId="49" fontId="19" fillId="0" borderId="11" xfId="0" applyNumberFormat="1" applyFont="1" applyFill="1" applyBorder="1" applyAlignment="1">
      <alignment vertical="top" wrapText="1"/>
    </xf>
    <xf numFmtId="183" fontId="12" fillId="0" borderId="11" xfId="53" applyNumberFormat="1" applyFont="1" applyFill="1" applyBorder="1" applyAlignment="1" applyProtection="1">
      <alignment horizontal="center" vertical="top"/>
      <protection hidden="1"/>
    </xf>
    <xf numFmtId="183" fontId="19" fillId="0" borderId="11" xfId="53" applyNumberFormat="1" applyFont="1" applyFill="1" applyBorder="1" applyAlignment="1" applyProtection="1">
      <alignment horizontal="center" vertical="top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2" xfId="53" applyNumberFormat="1" applyFont="1" applyFill="1" applyBorder="1" applyAlignment="1" applyProtection="1">
      <alignment horizontal="center" vertical="top"/>
      <protection hidden="1"/>
    </xf>
    <xf numFmtId="49" fontId="11" fillId="0" borderId="10" xfId="0" applyNumberFormat="1" applyFont="1" applyFill="1" applyBorder="1" applyAlignment="1">
      <alignment vertical="top" wrapText="1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19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0" fontId="69" fillId="0" borderId="11" xfId="0" applyFont="1" applyFill="1" applyBorder="1" applyAlignment="1">
      <alignment/>
    </xf>
    <xf numFmtId="0" fontId="69" fillId="0" borderId="11" xfId="0" applyFont="1" applyFill="1" applyBorder="1" applyAlignment="1">
      <alignment wrapText="1"/>
    </xf>
    <xf numFmtId="0" fontId="69" fillId="0" borderId="11" xfId="0" applyFont="1" applyFill="1" applyBorder="1" applyAlignment="1">
      <alignment/>
    </xf>
    <xf numFmtId="0" fontId="19" fillId="0" borderId="25" xfId="0" applyNumberFormat="1" applyFont="1" applyFill="1" applyBorder="1" applyAlignment="1" applyProtection="1">
      <alignment vertical="top" wrapText="1"/>
      <protection/>
    </xf>
    <xf numFmtId="49" fontId="19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9" fillId="0" borderId="13" xfId="56" applyNumberFormat="1" applyFont="1" applyFill="1" applyBorder="1" applyAlignment="1" applyProtection="1">
      <alignment vertical="top" wrapText="1"/>
      <protection hidden="1"/>
    </xf>
    <xf numFmtId="0" fontId="19" fillId="0" borderId="11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0" fontId="19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Fill="1" applyBorder="1" applyAlignment="1">
      <alignment vertical="top" wrapText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0" fontId="19" fillId="0" borderId="13" xfId="54" applyNumberFormat="1" applyFont="1" applyFill="1" applyBorder="1" applyAlignment="1" applyProtection="1">
      <alignment vertical="top" wrapText="1"/>
      <protection hidden="1"/>
    </xf>
    <xf numFmtId="174" fontId="14" fillId="0" borderId="12" xfId="53" applyNumberFormat="1" applyFont="1" applyFill="1" applyBorder="1" applyAlignment="1" applyProtection="1">
      <alignment horizontal="center" vertical="top"/>
      <protection hidden="1"/>
    </xf>
    <xf numFmtId="49" fontId="19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 applyProtection="1">
      <alignment vertical="top" wrapText="1"/>
      <protection/>
    </xf>
    <xf numFmtId="0" fontId="12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16" xfId="0" applyNumberFormat="1" applyFont="1" applyFill="1" applyBorder="1" applyAlignment="1">
      <alignment vertical="top" wrapText="1"/>
    </xf>
    <xf numFmtId="0" fontId="70" fillId="0" borderId="14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5" fillId="0" borderId="12" xfId="0" applyFont="1" applyFill="1" applyBorder="1" applyAlignment="1">
      <alignment vertical="top" wrapText="1"/>
    </xf>
    <xf numFmtId="174" fontId="14" fillId="0" borderId="11" xfId="53" applyNumberFormat="1" applyFont="1" applyFill="1" applyBorder="1" applyAlignment="1" applyProtection="1">
      <alignment horizontal="center" vertical="top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1" xfId="0" applyNumberFormat="1" applyFont="1" applyFill="1" applyBorder="1" applyAlignment="1">
      <alignment vertical="top" wrapText="1"/>
    </xf>
    <xf numFmtId="49" fontId="19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1" xfId="53" applyNumberFormat="1" applyFont="1" applyFill="1" applyBorder="1" applyAlignment="1" applyProtection="1">
      <alignment horizontal="center" vertical="top"/>
      <protection hidden="1"/>
    </xf>
    <xf numFmtId="0" fontId="12" fillId="0" borderId="11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0" fontId="27" fillId="0" borderId="11" xfId="53" applyNumberFormat="1" applyFont="1" applyFill="1" applyBorder="1" applyAlignment="1" applyProtection="1">
      <alignment vertical="top" wrapText="1"/>
      <protection hidden="1"/>
    </xf>
    <xf numFmtId="4" fontId="10" fillId="0" borderId="0" xfId="53" applyNumberFormat="1" applyFont="1" applyFill="1">
      <alignment/>
      <protection/>
    </xf>
    <xf numFmtId="4" fontId="71" fillId="0" borderId="0" xfId="53" applyNumberFormat="1" applyFont="1" applyFill="1">
      <alignment/>
      <protection/>
    </xf>
    <xf numFmtId="4" fontId="20" fillId="0" borderId="0" xfId="53" applyNumberFormat="1" applyFont="1" applyFill="1">
      <alignment/>
      <protection/>
    </xf>
    <xf numFmtId="4" fontId="16" fillId="0" borderId="0" xfId="53" applyNumberFormat="1" applyFont="1" applyFill="1">
      <alignment/>
      <protection/>
    </xf>
    <xf numFmtId="4" fontId="17" fillId="0" borderId="0" xfId="53" applyNumberFormat="1" applyFont="1" applyFill="1">
      <alignment/>
      <protection/>
    </xf>
    <xf numFmtId="4" fontId="18" fillId="0" borderId="0" xfId="53" applyNumberFormat="1" applyFont="1" applyFill="1">
      <alignment/>
      <protection/>
    </xf>
    <xf numFmtId="2" fontId="11" fillId="0" borderId="11" xfId="0" applyNumberFormat="1" applyFont="1" applyFill="1" applyBorder="1" applyAlignment="1">
      <alignment/>
    </xf>
    <xf numFmtId="183" fontId="31" fillId="0" borderId="11" xfId="0" applyNumberFormat="1" applyFont="1" applyFill="1" applyBorder="1" applyAlignment="1">
      <alignment/>
    </xf>
    <xf numFmtId="0" fontId="14" fillId="0" borderId="16" xfId="53" applyNumberFormat="1" applyFont="1" applyFill="1" applyBorder="1" applyAlignment="1" applyProtection="1">
      <alignment horizontal="left" vertical="top" wrapText="1"/>
      <protection hidden="1"/>
    </xf>
    <xf numFmtId="0" fontId="11" fillId="0" borderId="14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1" xfId="53" applyNumberFormat="1" applyFont="1" applyFill="1" applyBorder="1" applyAlignment="1" applyProtection="1">
      <alignment horizontal="left" vertical="top" wrapText="1"/>
      <protection hidden="1"/>
    </xf>
    <xf numFmtId="0" fontId="14" fillId="0" borderId="13" xfId="53" applyNumberFormat="1" applyFont="1" applyFill="1" applyBorder="1" applyAlignment="1" applyProtection="1">
      <alignment horizontal="left" vertical="top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3" xfId="53" applyNumberFormat="1" applyFont="1" applyFill="1" applyBorder="1" applyAlignment="1" applyProtection="1">
      <alignment horizontal="left" vertical="top" wrapText="1"/>
      <protection hidden="1"/>
    </xf>
    <xf numFmtId="0" fontId="14" fillId="0" borderId="20" xfId="53" applyNumberFormat="1" applyFont="1" applyFill="1" applyBorder="1" applyAlignment="1" applyProtection="1">
      <alignment horizontal="left" vertical="top" wrapText="1"/>
      <protection hidden="1"/>
    </xf>
    <xf numFmtId="0" fontId="11" fillId="0" borderId="20" xfId="53" applyNumberFormat="1" applyFont="1" applyFill="1" applyBorder="1" applyAlignment="1" applyProtection="1">
      <alignment horizontal="left" vertical="top" wrapText="1"/>
      <protection hidden="1"/>
    </xf>
    <xf numFmtId="0" fontId="11" fillId="0" borderId="27" xfId="53" applyNumberFormat="1" applyFont="1" applyFill="1" applyBorder="1" applyAlignment="1" applyProtection="1">
      <alignment horizontal="left" vertical="top" wrapText="1"/>
      <protection hidden="1"/>
    </xf>
    <xf numFmtId="0" fontId="11" fillId="0" borderId="16" xfId="53" applyNumberFormat="1" applyFont="1" applyFill="1" applyBorder="1" applyAlignment="1" applyProtection="1">
      <alignment horizontal="left" vertical="top" wrapText="1"/>
      <protection hidden="1"/>
    </xf>
    <xf numFmtId="0" fontId="11" fillId="0" borderId="12" xfId="0" applyFont="1" applyFill="1" applyBorder="1" applyAlignment="1">
      <alignment horizontal="left" vertical="top" wrapText="1"/>
    </xf>
    <xf numFmtId="0" fontId="11" fillId="0" borderId="15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Font="1" applyFill="1" applyBorder="1" applyAlignment="1">
      <alignment horizontal="left" vertical="top" wrapText="1"/>
      <protection/>
    </xf>
    <xf numFmtId="0" fontId="14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3" xfId="54" applyNumberFormat="1" applyFont="1" applyFill="1" applyBorder="1" applyAlignment="1" applyProtection="1">
      <alignment horizontal="left" vertical="top" wrapText="1"/>
      <protection hidden="1"/>
    </xf>
    <xf numFmtId="0" fontId="14" fillId="0" borderId="15" xfId="53" applyNumberFormat="1" applyFont="1" applyFill="1" applyBorder="1" applyAlignment="1" applyProtection="1">
      <alignment horizontal="left" vertical="top" wrapText="1"/>
      <protection hidden="1"/>
    </xf>
    <xf numFmtId="0" fontId="14" fillId="0" borderId="11" xfId="53" applyNumberFormat="1" applyFont="1" applyFill="1" applyBorder="1" applyAlignment="1" applyProtection="1">
      <alignment horizontal="left" vertical="top" wrapText="1"/>
      <protection hidden="1"/>
    </xf>
    <xf numFmtId="0" fontId="11" fillId="0" borderId="12" xfId="53" applyNumberFormat="1" applyFont="1" applyFill="1" applyBorder="1" applyAlignment="1" applyProtection="1">
      <alignment horizontal="left" vertical="top" wrapText="1"/>
      <protection hidden="1"/>
    </xf>
    <xf numFmtId="0" fontId="11" fillId="0" borderId="0" xfId="53" applyNumberFormat="1" applyFont="1" applyFill="1" applyBorder="1" applyAlignment="1" applyProtection="1">
      <alignment horizontal="left" vertical="top" wrapText="1"/>
      <protection hidden="1"/>
    </xf>
    <xf numFmtId="0" fontId="2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2" xfId="0" applyNumberFormat="1" applyFont="1" applyFill="1" applyBorder="1" applyAlignment="1">
      <alignment horizontal="left" vertical="top" wrapText="1"/>
    </xf>
    <xf numFmtId="0" fontId="27" fillId="0" borderId="11" xfId="53" applyNumberFormat="1" applyFont="1" applyFill="1" applyBorder="1" applyAlignment="1" applyProtection="1">
      <alignment horizontal="left" vertical="top" wrapText="1"/>
      <protection hidden="1"/>
    </xf>
    <xf numFmtId="0" fontId="11" fillId="0" borderId="13" xfId="53" applyFont="1" applyFill="1" applyBorder="1" applyAlignment="1">
      <alignment horizontal="left" vertical="top" wrapText="1"/>
      <protection/>
    </xf>
    <xf numFmtId="0" fontId="27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4" applyNumberFormat="1" applyFont="1" applyFill="1" applyBorder="1" applyAlignment="1" applyProtection="1">
      <alignment horizontal="left" vertical="top" wrapText="1"/>
      <protection hidden="1"/>
    </xf>
    <xf numFmtId="49" fontId="11" fillId="0" borderId="13" xfId="53" applyNumberFormat="1" applyFont="1" applyFill="1" applyBorder="1" applyAlignment="1" applyProtection="1">
      <alignment horizontal="left" vertical="top" wrapText="1"/>
      <protection hidden="1"/>
    </xf>
    <xf numFmtId="0" fontId="15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/>
    </xf>
    <xf numFmtId="49" fontId="72" fillId="0" borderId="11" xfId="0" applyNumberFormat="1" applyFont="1" applyFill="1" applyBorder="1" applyAlignment="1">
      <alignment/>
    </xf>
    <xf numFmtId="0" fontId="73" fillId="0" borderId="11" xfId="0" applyFont="1" applyFill="1" applyBorder="1" applyAlignment="1">
      <alignment/>
    </xf>
    <xf numFmtId="49" fontId="73" fillId="0" borderId="11" xfId="0" applyNumberFormat="1" applyFont="1" applyFill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3" fillId="0" borderId="11" xfId="0" applyFont="1" applyFill="1" applyBorder="1" applyAlignment="1">
      <alignment horizontal="left"/>
    </xf>
    <xf numFmtId="49" fontId="73" fillId="0" borderId="11" xfId="0" applyNumberFormat="1" applyFont="1" applyFill="1" applyBorder="1" applyAlignment="1">
      <alignment horizontal="right"/>
    </xf>
    <xf numFmtId="0" fontId="75" fillId="0" borderId="11" xfId="0" applyFont="1" applyFill="1" applyBorder="1" applyAlignment="1">
      <alignment/>
    </xf>
    <xf numFmtId="49" fontId="75" fillId="0" borderId="11" xfId="0" applyNumberFormat="1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3" fillId="0" borderId="11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73" fillId="0" borderId="13" xfId="0" applyFont="1" applyFill="1" applyBorder="1" applyAlignment="1">
      <alignment horizontal="left" vertical="top" wrapText="1"/>
    </xf>
    <xf numFmtId="0" fontId="73" fillId="0" borderId="20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27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left" vertical="top"/>
    </xf>
    <xf numFmtId="0" fontId="73" fillId="0" borderId="14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/>
    </xf>
    <xf numFmtId="183" fontId="11" fillId="34" borderId="11" xfId="0" applyNumberFormat="1" applyFont="1" applyFill="1" applyBorder="1" applyAlignment="1">
      <alignment/>
    </xf>
    <xf numFmtId="183" fontId="4" fillId="34" borderId="11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183" fontId="22" fillId="34" borderId="11" xfId="53" applyNumberFormat="1" applyFont="1" applyFill="1" applyBorder="1" applyAlignment="1" applyProtection="1">
      <alignment horizontal="center" vertical="top"/>
      <protection hidden="1"/>
    </xf>
    <xf numFmtId="183" fontId="22" fillId="34" borderId="12" xfId="53" applyNumberFormat="1" applyFont="1" applyFill="1" applyBorder="1" applyAlignment="1" applyProtection="1">
      <alignment horizontal="center" vertical="top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6" fontId="12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0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11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0" fontId="13" fillId="0" borderId="11" xfId="53" applyNumberFormat="1" applyFont="1" applyFill="1" applyBorder="1" applyAlignment="1" applyProtection="1">
      <alignment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>
      <alignment horizontal="left" vertical="top"/>
      <protection/>
    </xf>
    <xf numFmtId="0" fontId="11" fillId="0" borderId="0" xfId="53" applyFont="1" applyFill="1" applyAlignment="1">
      <alignment horizontal="left" vertical="top"/>
      <protection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83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50" fillId="0" borderId="15" xfId="0" applyFont="1" applyFill="1" applyBorder="1" applyAlignment="1">
      <alignment horizontal="center" vertical="center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0" fillId="0" borderId="16" xfId="0" applyFont="1" applyFill="1" applyBorder="1" applyAlignment="1">
      <alignment horizontal="center" vertical="center" wrapText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/>
    </xf>
    <xf numFmtId="183" fontId="11" fillId="0" borderId="10" xfId="0" applyNumberFormat="1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77" fillId="0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77" fillId="0" borderId="16" xfId="0" applyFont="1" applyBorder="1" applyAlignment="1">
      <alignment wrapText="1"/>
    </xf>
    <xf numFmtId="0" fontId="26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52" fillId="0" borderId="16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3"/>
  <sheetViews>
    <sheetView showGridLines="0" tabSelected="1" zoomScale="80" zoomScaleNormal="80" zoomScaleSheetLayoutView="100" workbookViewId="0" topLeftCell="H1">
      <selection activeCell="W12" sqref="W12"/>
    </sheetView>
  </sheetViews>
  <sheetFormatPr defaultColWidth="9.140625" defaultRowHeight="15"/>
  <cols>
    <col min="1" max="6" width="0" style="21" hidden="1" customWidth="1"/>
    <col min="7" max="7" width="7.140625" style="21" hidden="1" customWidth="1"/>
    <col min="8" max="8" width="113.140625" style="166" customWidth="1"/>
    <col min="9" max="9" width="7.8515625" style="108" customWidth="1"/>
    <col min="10" max="10" width="5.140625" style="108" customWidth="1"/>
    <col min="11" max="11" width="5.00390625" style="108" customWidth="1"/>
    <col min="12" max="12" width="5.7109375" style="167" customWidth="1"/>
    <col min="13" max="14" width="4.28125" style="167" customWidth="1"/>
    <col min="15" max="15" width="10.28125" style="167" customWidth="1"/>
    <col min="16" max="16" width="9.140625" style="108" customWidth="1"/>
    <col min="17" max="17" width="26.140625" style="24" customWidth="1"/>
    <col min="18" max="18" width="19.140625" style="168" customWidth="1"/>
    <col min="19" max="19" width="11.421875" style="281" bestFit="1" customWidth="1"/>
    <col min="20" max="20" width="20.421875" style="21" customWidth="1"/>
    <col min="21" max="16384" width="9.140625" style="21" customWidth="1"/>
  </cols>
  <sheetData>
    <row r="1" spans="9:18" ht="18" customHeight="1">
      <c r="I1" s="203"/>
      <c r="J1" s="209" t="s">
        <v>485</v>
      </c>
      <c r="K1" s="209"/>
      <c r="L1" s="210"/>
      <c r="M1" s="205"/>
      <c r="N1" s="205"/>
      <c r="O1" s="205"/>
      <c r="P1" s="204"/>
      <c r="Q1" s="206"/>
      <c r="R1" s="207"/>
    </row>
    <row r="2" spans="9:18" ht="18.75">
      <c r="I2" s="203" t="s">
        <v>492</v>
      </c>
      <c r="J2" s="204"/>
      <c r="K2" s="204"/>
      <c r="L2" s="205"/>
      <c r="M2" s="205"/>
      <c r="N2" s="205"/>
      <c r="O2" s="205"/>
      <c r="P2" s="204"/>
      <c r="Q2" s="206"/>
      <c r="R2" s="207"/>
    </row>
    <row r="3" spans="9:18" ht="15" customHeight="1">
      <c r="I3" s="208" t="s">
        <v>493</v>
      </c>
      <c r="J3" s="204"/>
      <c r="K3" s="204"/>
      <c r="L3" s="205"/>
      <c r="M3" s="205"/>
      <c r="N3" s="205"/>
      <c r="O3" s="205"/>
      <c r="P3" s="204"/>
      <c r="Q3" s="206"/>
      <c r="R3" s="207"/>
    </row>
    <row r="4" spans="8:18" ht="18.75">
      <c r="H4" s="170"/>
      <c r="I4" s="367" t="s">
        <v>1012</v>
      </c>
      <c r="J4" s="367"/>
      <c r="K4" s="367"/>
      <c r="L4" s="367"/>
      <c r="M4" s="367"/>
      <c r="N4" s="367"/>
      <c r="O4" s="367"/>
      <c r="P4" s="367"/>
      <c r="Q4" s="367"/>
      <c r="R4" s="367"/>
    </row>
    <row r="5" spans="9:18" ht="15.75"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ht="42" customHeight="1">
      <c r="A6" s="27"/>
      <c r="B6" s="27"/>
      <c r="C6" s="27"/>
      <c r="D6" s="27"/>
      <c r="E6" s="27"/>
      <c r="F6" s="27"/>
      <c r="G6" s="27"/>
      <c r="H6" s="369" t="s">
        <v>1010</v>
      </c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spans="1:18" ht="18.75" customHeight="1" hidden="1" thickBot="1">
      <c r="A7" s="29"/>
      <c r="B7" s="29"/>
      <c r="C7" s="29"/>
      <c r="D7" s="29"/>
      <c r="E7" s="29"/>
      <c r="F7" s="29"/>
      <c r="G7" s="29"/>
      <c r="H7" s="25"/>
      <c r="I7" s="26"/>
      <c r="J7" s="26"/>
      <c r="K7" s="26"/>
      <c r="L7" s="28"/>
      <c r="M7" s="28"/>
      <c r="N7" s="28"/>
      <c r="O7" s="28"/>
      <c r="P7" s="26"/>
      <c r="Q7" s="134" t="s">
        <v>241</v>
      </c>
      <c r="R7" s="211"/>
    </row>
    <row r="8" spans="1:18" ht="4.5" customHeight="1">
      <c r="A8" s="212"/>
      <c r="B8" s="212"/>
      <c r="C8" s="212"/>
      <c r="D8" s="212"/>
      <c r="E8" s="212"/>
      <c r="F8" s="212"/>
      <c r="G8" s="212"/>
      <c r="H8" s="25"/>
      <c r="I8" s="26"/>
      <c r="J8" s="26"/>
      <c r="K8" s="26"/>
      <c r="L8" s="28"/>
      <c r="M8" s="28"/>
      <c r="N8" s="28"/>
      <c r="O8" s="28"/>
      <c r="P8" s="26"/>
      <c r="Q8" s="213"/>
      <c r="R8" s="214"/>
    </row>
    <row r="9" spans="1:18" ht="18" customHeight="1" thickBot="1">
      <c r="A9" s="212"/>
      <c r="B9" s="212"/>
      <c r="C9" s="212"/>
      <c r="D9" s="212"/>
      <c r="E9" s="212"/>
      <c r="F9" s="212"/>
      <c r="G9" s="212"/>
      <c r="H9" s="25"/>
      <c r="I9" s="26"/>
      <c r="J9" s="26"/>
      <c r="K9" s="26"/>
      <c r="L9" s="28"/>
      <c r="M9" s="28"/>
      <c r="N9" s="28"/>
      <c r="O9" s="28"/>
      <c r="P9" s="26"/>
      <c r="Q9" s="213"/>
      <c r="R9" s="214" t="s">
        <v>494</v>
      </c>
    </row>
    <row r="10" spans="1:18" ht="19.5" customHeight="1">
      <c r="A10" s="30"/>
      <c r="B10" s="30" t="s">
        <v>201</v>
      </c>
      <c r="C10" s="31" t="s">
        <v>200</v>
      </c>
      <c r="D10" s="31" t="s">
        <v>199</v>
      </c>
      <c r="E10" s="31" t="s">
        <v>198</v>
      </c>
      <c r="F10" s="31" t="s">
        <v>197</v>
      </c>
      <c r="G10" s="31" t="s">
        <v>196</v>
      </c>
      <c r="H10" s="365" t="s">
        <v>195</v>
      </c>
      <c r="I10" s="377" t="s">
        <v>194</v>
      </c>
      <c r="J10" s="377" t="s">
        <v>193</v>
      </c>
      <c r="K10" s="365" t="s">
        <v>192</v>
      </c>
      <c r="L10" s="359" t="s">
        <v>191</v>
      </c>
      <c r="M10" s="360"/>
      <c r="N10" s="360"/>
      <c r="O10" s="361"/>
      <c r="P10" s="365" t="s">
        <v>190</v>
      </c>
      <c r="Q10" s="370" t="s">
        <v>490</v>
      </c>
      <c r="R10" s="372" t="s">
        <v>491</v>
      </c>
    </row>
    <row r="11" spans="1:18" ht="21" customHeight="1">
      <c r="A11" s="120"/>
      <c r="B11" s="120"/>
      <c r="C11" s="120"/>
      <c r="D11" s="120"/>
      <c r="E11" s="120"/>
      <c r="F11" s="120"/>
      <c r="G11" s="120"/>
      <c r="H11" s="366"/>
      <c r="I11" s="378"/>
      <c r="J11" s="378"/>
      <c r="K11" s="366"/>
      <c r="L11" s="362"/>
      <c r="M11" s="363"/>
      <c r="N11" s="363"/>
      <c r="O11" s="364"/>
      <c r="P11" s="366"/>
      <c r="Q11" s="371"/>
      <c r="R11" s="373"/>
    </row>
    <row r="12" spans="1:18" ht="15.75">
      <c r="A12" s="32"/>
      <c r="B12" s="33"/>
      <c r="C12" s="33"/>
      <c r="D12" s="33"/>
      <c r="E12" s="33"/>
      <c r="F12" s="33"/>
      <c r="G12" s="34"/>
      <c r="H12" s="35">
        <v>1</v>
      </c>
      <c r="I12" s="36">
        <v>2</v>
      </c>
      <c r="J12" s="37">
        <v>3</v>
      </c>
      <c r="K12" s="35">
        <v>4</v>
      </c>
      <c r="L12" s="374">
        <v>5</v>
      </c>
      <c r="M12" s="375"/>
      <c r="N12" s="375"/>
      <c r="O12" s="376"/>
      <c r="P12" s="35">
        <v>6</v>
      </c>
      <c r="Q12" s="38">
        <v>7</v>
      </c>
      <c r="R12" s="171">
        <v>8</v>
      </c>
    </row>
    <row r="13" spans="1:20" s="172" customFormat="1" ht="18.75">
      <c r="A13" s="351">
        <v>1</v>
      </c>
      <c r="B13" s="351"/>
      <c r="C13" s="351"/>
      <c r="D13" s="351"/>
      <c r="E13" s="351"/>
      <c r="F13" s="351"/>
      <c r="G13" s="71">
        <v>120</v>
      </c>
      <c r="H13" s="22" t="s">
        <v>501</v>
      </c>
      <c r="I13" s="10">
        <v>666</v>
      </c>
      <c r="J13" s="11" t="s">
        <v>211</v>
      </c>
      <c r="K13" s="11" t="s">
        <v>211</v>
      </c>
      <c r="L13" s="72" t="s">
        <v>211</v>
      </c>
      <c r="M13" s="73" t="s">
        <v>211</v>
      </c>
      <c r="N13" s="73"/>
      <c r="O13" s="73" t="s">
        <v>211</v>
      </c>
      <c r="P13" s="10" t="s">
        <v>211</v>
      </c>
      <c r="Q13" s="122">
        <f>Q14+Q33</f>
        <v>5264.699999999999</v>
      </c>
      <c r="R13" s="122">
        <f>R14+R33</f>
        <v>5249</v>
      </c>
      <c r="S13" s="282"/>
      <c r="T13" s="230"/>
    </row>
    <row r="14" spans="1:20" s="111" customFormat="1" ht="19.5">
      <c r="A14" s="356">
        <v>100</v>
      </c>
      <c r="B14" s="356"/>
      <c r="C14" s="357"/>
      <c r="D14" s="357"/>
      <c r="E14" s="357"/>
      <c r="F14" s="357"/>
      <c r="G14" s="75">
        <v>120</v>
      </c>
      <c r="H14" s="231" t="s">
        <v>502</v>
      </c>
      <c r="I14" s="202">
        <v>666</v>
      </c>
      <c r="J14" s="181">
        <v>1</v>
      </c>
      <c r="K14" s="181" t="s">
        <v>241</v>
      </c>
      <c r="L14" s="182"/>
      <c r="M14" s="183"/>
      <c r="N14" s="183"/>
      <c r="O14" s="183"/>
      <c r="P14" s="202"/>
      <c r="Q14" s="123">
        <f>Q15+Q24</f>
        <v>5264.699999999999</v>
      </c>
      <c r="R14" s="123">
        <f>R15+R24</f>
        <v>5249</v>
      </c>
      <c r="S14" s="283"/>
      <c r="T14" s="230"/>
    </row>
    <row r="15" spans="1:20" s="111" customFormat="1" ht="31.5">
      <c r="A15" s="81"/>
      <c r="B15" s="82"/>
      <c r="C15" s="92"/>
      <c r="D15" s="89"/>
      <c r="E15" s="93"/>
      <c r="F15" s="93"/>
      <c r="G15" s="75"/>
      <c r="H15" s="76" t="s">
        <v>188</v>
      </c>
      <c r="I15" s="77">
        <v>666</v>
      </c>
      <c r="J15" s="78">
        <v>1</v>
      </c>
      <c r="K15" s="78">
        <v>3</v>
      </c>
      <c r="L15" s="79"/>
      <c r="M15" s="80"/>
      <c r="N15" s="80"/>
      <c r="O15" s="80"/>
      <c r="P15" s="77"/>
      <c r="Q15" s="123">
        <f>Q16</f>
        <v>5264.699999999999</v>
      </c>
      <c r="R15" s="123">
        <f>R16</f>
        <v>5249</v>
      </c>
      <c r="S15" s="283"/>
      <c r="T15" s="230"/>
    </row>
    <row r="16" spans="1:20" s="111" customFormat="1" ht="18.75">
      <c r="A16" s="81"/>
      <c r="B16" s="82"/>
      <c r="C16" s="92"/>
      <c r="D16" s="89"/>
      <c r="E16" s="93"/>
      <c r="F16" s="93"/>
      <c r="G16" s="75"/>
      <c r="H16" s="8" t="s">
        <v>229</v>
      </c>
      <c r="I16" s="7">
        <v>666</v>
      </c>
      <c r="J16" s="12">
        <v>1</v>
      </c>
      <c r="K16" s="12">
        <v>3</v>
      </c>
      <c r="L16" s="46" t="s">
        <v>230</v>
      </c>
      <c r="M16" s="47" t="s">
        <v>222</v>
      </c>
      <c r="N16" s="47" t="s">
        <v>231</v>
      </c>
      <c r="O16" s="47" t="s">
        <v>240</v>
      </c>
      <c r="P16" s="7"/>
      <c r="Q16" s="124">
        <f>Q17+Q22</f>
        <v>5264.699999999999</v>
      </c>
      <c r="R16" s="124">
        <f>R17+R22</f>
        <v>5249</v>
      </c>
      <c r="S16" s="283"/>
      <c r="T16" s="230"/>
    </row>
    <row r="17" spans="1:20" ht="18.75">
      <c r="A17" s="48"/>
      <c r="B17" s="49"/>
      <c r="C17" s="54"/>
      <c r="D17" s="52"/>
      <c r="E17" s="64"/>
      <c r="F17" s="64"/>
      <c r="G17" s="40"/>
      <c r="H17" s="8" t="s">
        <v>302</v>
      </c>
      <c r="I17" s="7">
        <v>666</v>
      </c>
      <c r="J17" s="12">
        <v>1</v>
      </c>
      <c r="K17" s="12">
        <v>3</v>
      </c>
      <c r="L17" s="12">
        <v>92</v>
      </c>
      <c r="M17" s="47" t="s">
        <v>222</v>
      </c>
      <c r="N17" s="47" t="s">
        <v>231</v>
      </c>
      <c r="O17" s="47" t="s">
        <v>243</v>
      </c>
      <c r="P17" s="7"/>
      <c r="Q17" s="124">
        <f>Q18+Q19+Q20</f>
        <v>4793.699999999999</v>
      </c>
      <c r="R17" s="124">
        <f>R18+R19+R20</f>
        <v>4778</v>
      </c>
      <c r="T17" s="230"/>
    </row>
    <row r="18" spans="1:20" ht="18.75">
      <c r="A18" s="48"/>
      <c r="B18" s="49"/>
      <c r="C18" s="54"/>
      <c r="D18" s="52"/>
      <c r="E18" s="64"/>
      <c r="F18" s="64"/>
      <c r="G18" s="40"/>
      <c r="H18" s="8" t="s">
        <v>210</v>
      </c>
      <c r="I18" s="7">
        <v>666</v>
      </c>
      <c r="J18" s="12">
        <v>1</v>
      </c>
      <c r="K18" s="12">
        <v>3</v>
      </c>
      <c r="L18" s="12">
        <v>92</v>
      </c>
      <c r="M18" s="47" t="s">
        <v>222</v>
      </c>
      <c r="N18" s="47" t="s">
        <v>231</v>
      </c>
      <c r="O18" s="47" t="s">
        <v>243</v>
      </c>
      <c r="P18" s="7">
        <v>120</v>
      </c>
      <c r="Q18" s="124">
        <f>2238.7-62.2-18.8+71.2-70+70+242.4+77.5+0.3+356.5+75.2+107.7+22.7-10.3-80.2-22.7</f>
        <v>2997.9999999999995</v>
      </c>
      <c r="R18" s="124">
        <v>2992.8</v>
      </c>
      <c r="T18" s="230"/>
    </row>
    <row r="19" spans="1:20" s="111" customFormat="1" ht="18.75">
      <c r="A19" s="81"/>
      <c r="B19" s="82"/>
      <c r="C19" s="356">
        <v>104</v>
      </c>
      <c r="D19" s="357"/>
      <c r="E19" s="357"/>
      <c r="F19" s="357"/>
      <c r="G19" s="75">
        <v>120</v>
      </c>
      <c r="H19" s="8" t="s">
        <v>277</v>
      </c>
      <c r="I19" s="7">
        <v>666</v>
      </c>
      <c r="J19" s="12">
        <v>1</v>
      </c>
      <c r="K19" s="12">
        <v>3</v>
      </c>
      <c r="L19" s="12">
        <v>92</v>
      </c>
      <c r="M19" s="47" t="s">
        <v>222</v>
      </c>
      <c r="N19" s="47" t="s">
        <v>231</v>
      </c>
      <c r="O19" s="47" t="s">
        <v>243</v>
      </c>
      <c r="P19" s="7">
        <v>240</v>
      </c>
      <c r="Q19" s="124">
        <f>1474.1+1-200+200+70+330-242.4-77.8+10.3+5+127.6</f>
        <v>1697.7999999999997</v>
      </c>
      <c r="R19" s="124">
        <v>1687.3</v>
      </c>
      <c r="S19" s="283"/>
      <c r="T19" s="230"/>
    </row>
    <row r="20" spans="1:20" ht="31.5">
      <c r="A20" s="50"/>
      <c r="B20" s="49"/>
      <c r="C20" s="48"/>
      <c r="D20" s="45"/>
      <c r="E20" s="45"/>
      <c r="F20" s="45"/>
      <c r="G20" s="40"/>
      <c r="H20" s="8" t="s">
        <v>458</v>
      </c>
      <c r="I20" s="7">
        <v>666</v>
      </c>
      <c r="J20" s="12">
        <v>1</v>
      </c>
      <c r="K20" s="12">
        <v>3</v>
      </c>
      <c r="L20" s="12">
        <v>92</v>
      </c>
      <c r="M20" s="47" t="s">
        <v>222</v>
      </c>
      <c r="N20" s="47" t="s">
        <v>231</v>
      </c>
      <c r="O20" s="47" t="s">
        <v>457</v>
      </c>
      <c r="P20" s="7"/>
      <c r="Q20" s="124">
        <f>Q21</f>
        <v>97.9</v>
      </c>
      <c r="R20" s="124">
        <f>R21</f>
        <v>97.9</v>
      </c>
      <c r="T20" s="230"/>
    </row>
    <row r="21" spans="1:20" ht="18.75">
      <c r="A21" s="50"/>
      <c r="B21" s="49"/>
      <c r="C21" s="48"/>
      <c r="D21" s="45"/>
      <c r="E21" s="45"/>
      <c r="F21" s="45"/>
      <c r="G21" s="40"/>
      <c r="H21" s="8" t="s">
        <v>210</v>
      </c>
      <c r="I21" s="7">
        <v>666</v>
      </c>
      <c r="J21" s="12">
        <v>1</v>
      </c>
      <c r="K21" s="12">
        <v>3</v>
      </c>
      <c r="L21" s="12">
        <v>92</v>
      </c>
      <c r="M21" s="47" t="s">
        <v>222</v>
      </c>
      <c r="N21" s="47" t="s">
        <v>231</v>
      </c>
      <c r="O21" s="47" t="s">
        <v>457</v>
      </c>
      <c r="P21" s="7">
        <v>120</v>
      </c>
      <c r="Q21" s="124">
        <f>75.2+22.7</f>
        <v>97.9</v>
      </c>
      <c r="R21" s="124">
        <v>97.9</v>
      </c>
      <c r="T21" s="230"/>
    </row>
    <row r="22" spans="1:20" ht="31.5">
      <c r="A22" s="50"/>
      <c r="B22" s="49"/>
      <c r="C22" s="48"/>
      <c r="D22" s="352">
        <v>20000</v>
      </c>
      <c r="E22" s="353"/>
      <c r="F22" s="353"/>
      <c r="G22" s="40">
        <v>120</v>
      </c>
      <c r="H22" s="8" t="s">
        <v>353</v>
      </c>
      <c r="I22" s="3">
        <v>666</v>
      </c>
      <c r="J22" s="12">
        <v>1</v>
      </c>
      <c r="K22" s="12">
        <v>3</v>
      </c>
      <c r="L22" s="12">
        <v>92</v>
      </c>
      <c r="M22" s="47" t="s">
        <v>222</v>
      </c>
      <c r="N22" s="47" t="s">
        <v>231</v>
      </c>
      <c r="O22" s="47" t="s">
        <v>352</v>
      </c>
      <c r="P22" s="7"/>
      <c r="Q22" s="124">
        <f>Q23</f>
        <v>471</v>
      </c>
      <c r="R22" s="124">
        <f>R23</f>
        <v>471</v>
      </c>
      <c r="T22" s="230"/>
    </row>
    <row r="23" spans="1:20" ht="18.75">
      <c r="A23" s="50"/>
      <c r="B23" s="49"/>
      <c r="C23" s="48"/>
      <c r="D23" s="52"/>
      <c r="E23" s="53"/>
      <c r="F23" s="53"/>
      <c r="G23" s="40"/>
      <c r="H23" s="8" t="s">
        <v>210</v>
      </c>
      <c r="I23" s="7">
        <v>666</v>
      </c>
      <c r="J23" s="12">
        <v>1</v>
      </c>
      <c r="K23" s="12">
        <v>3</v>
      </c>
      <c r="L23" s="12">
        <v>92</v>
      </c>
      <c r="M23" s="47" t="s">
        <v>222</v>
      </c>
      <c r="N23" s="47" t="s">
        <v>231</v>
      </c>
      <c r="O23" s="47" t="s">
        <v>352</v>
      </c>
      <c r="P23" s="3">
        <v>120</v>
      </c>
      <c r="Q23" s="124">
        <v>471</v>
      </c>
      <c r="R23" s="124">
        <v>471</v>
      </c>
      <c r="T23" s="230"/>
    </row>
    <row r="24" spans="1:20" ht="19.5" hidden="1">
      <c r="A24" s="50"/>
      <c r="B24" s="49"/>
      <c r="C24" s="54"/>
      <c r="D24" s="52"/>
      <c r="E24" s="55"/>
      <c r="F24" s="55"/>
      <c r="G24" s="56"/>
      <c r="H24" s="76" t="s">
        <v>212</v>
      </c>
      <c r="I24" s="85">
        <v>666</v>
      </c>
      <c r="J24" s="78">
        <v>1</v>
      </c>
      <c r="K24" s="78">
        <v>13</v>
      </c>
      <c r="L24" s="79"/>
      <c r="M24" s="80"/>
      <c r="N24" s="80"/>
      <c r="O24" s="80"/>
      <c r="P24" s="77"/>
      <c r="Q24" s="347">
        <f>Q25</f>
        <v>0</v>
      </c>
      <c r="R24" s="123">
        <f>R25</f>
        <v>0</v>
      </c>
      <c r="T24" s="230"/>
    </row>
    <row r="25" spans="1:20" ht="31.5" hidden="1">
      <c r="A25" s="50"/>
      <c r="B25" s="49"/>
      <c r="C25" s="57"/>
      <c r="D25" s="58"/>
      <c r="E25" s="55"/>
      <c r="F25" s="55"/>
      <c r="G25" s="40"/>
      <c r="H25" s="8" t="s">
        <v>503</v>
      </c>
      <c r="I25" s="3">
        <v>666</v>
      </c>
      <c r="J25" s="12">
        <v>1</v>
      </c>
      <c r="K25" s="12">
        <v>13</v>
      </c>
      <c r="L25" s="46" t="s">
        <v>234</v>
      </c>
      <c r="M25" s="47" t="s">
        <v>222</v>
      </c>
      <c r="N25" s="47" t="s">
        <v>231</v>
      </c>
      <c r="O25" s="47" t="s">
        <v>240</v>
      </c>
      <c r="P25" s="7"/>
      <c r="Q25" s="345">
        <f>Q26+Q29</f>
        <v>0</v>
      </c>
      <c r="R25" s="124">
        <f>R26+R29</f>
        <v>0</v>
      </c>
      <c r="T25" s="230"/>
    </row>
    <row r="26" spans="1:20" ht="18.75" hidden="1">
      <c r="A26" s="50"/>
      <c r="B26" s="49"/>
      <c r="C26" s="57"/>
      <c r="D26" s="58"/>
      <c r="E26" s="55"/>
      <c r="F26" s="55"/>
      <c r="G26" s="40"/>
      <c r="H26" s="1" t="s">
        <v>344</v>
      </c>
      <c r="I26" s="3">
        <v>666</v>
      </c>
      <c r="J26" s="12">
        <v>1</v>
      </c>
      <c r="K26" s="12">
        <v>13</v>
      </c>
      <c r="L26" s="46" t="s">
        <v>234</v>
      </c>
      <c r="M26" s="47" t="s">
        <v>222</v>
      </c>
      <c r="N26" s="47" t="s">
        <v>223</v>
      </c>
      <c r="O26" s="47" t="s">
        <v>240</v>
      </c>
      <c r="P26" s="7"/>
      <c r="Q26" s="345">
        <f>Q27</f>
        <v>0</v>
      </c>
      <c r="R26" s="124">
        <f>R27</f>
        <v>0</v>
      </c>
      <c r="T26" s="230"/>
    </row>
    <row r="27" spans="1:20" ht="31.5" hidden="1">
      <c r="A27" s="50"/>
      <c r="B27" s="49"/>
      <c r="C27" s="57"/>
      <c r="D27" s="58"/>
      <c r="E27" s="55"/>
      <c r="F27" s="55"/>
      <c r="G27" s="40"/>
      <c r="H27" s="13" t="s">
        <v>0</v>
      </c>
      <c r="I27" s="3">
        <v>666</v>
      </c>
      <c r="J27" s="12">
        <v>1</v>
      </c>
      <c r="K27" s="12">
        <v>13</v>
      </c>
      <c r="L27" s="46" t="s">
        <v>234</v>
      </c>
      <c r="M27" s="47" t="s">
        <v>222</v>
      </c>
      <c r="N27" s="47" t="s">
        <v>223</v>
      </c>
      <c r="O27" s="47" t="s">
        <v>1</v>
      </c>
      <c r="P27" s="7"/>
      <c r="Q27" s="345">
        <f>Q28</f>
        <v>0</v>
      </c>
      <c r="R27" s="124">
        <f>R28</f>
        <v>0</v>
      </c>
      <c r="T27" s="230"/>
    </row>
    <row r="28" spans="1:20" ht="18.75" hidden="1">
      <c r="A28" s="50"/>
      <c r="B28" s="49"/>
      <c r="C28" s="57"/>
      <c r="D28" s="58"/>
      <c r="E28" s="55"/>
      <c r="F28" s="55"/>
      <c r="G28" s="40"/>
      <c r="H28" s="2" t="s">
        <v>237</v>
      </c>
      <c r="I28" s="3">
        <v>666</v>
      </c>
      <c r="J28" s="12">
        <v>1</v>
      </c>
      <c r="K28" s="12">
        <v>13</v>
      </c>
      <c r="L28" s="46" t="s">
        <v>234</v>
      </c>
      <c r="M28" s="47" t="s">
        <v>222</v>
      </c>
      <c r="N28" s="47" t="s">
        <v>223</v>
      </c>
      <c r="O28" s="47" t="s">
        <v>1</v>
      </c>
      <c r="P28" s="7">
        <v>340</v>
      </c>
      <c r="Q28" s="345">
        <v>0</v>
      </c>
      <c r="R28" s="124"/>
      <c r="T28" s="230"/>
    </row>
    <row r="29" spans="1:20" ht="18.75" hidden="1">
      <c r="A29" s="50"/>
      <c r="B29" s="49"/>
      <c r="C29" s="57"/>
      <c r="D29" s="58"/>
      <c r="E29" s="55"/>
      <c r="F29" s="55"/>
      <c r="G29" s="40"/>
      <c r="H29" s="2" t="s">
        <v>345</v>
      </c>
      <c r="I29" s="3">
        <v>666</v>
      </c>
      <c r="J29" s="12">
        <v>1</v>
      </c>
      <c r="K29" s="12">
        <v>13</v>
      </c>
      <c r="L29" s="46" t="s">
        <v>234</v>
      </c>
      <c r="M29" s="47" t="s">
        <v>222</v>
      </c>
      <c r="N29" s="47" t="s">
        <v>234</v>
      </c>
      <c r="O29" s="47" t="s">
        <v>240</v>
      </c>
      <c r="P29" s="7"/>
      <c r="Q29" s="345">
        <f>Q30</f>
        <v>0</v>
      </c>
      <c r="R29" s="124">
        <f>R30</f>
        <v>0</v>
      </c>
      <c r="T29" s="230"/>
    </row>
    <row r="30" spans="1:20" ht="31.5" hidden="1">
      <c r="A30" s="50"/>
      <c r="B30" s="49"/>
      <c r="C30" s="57"/>
      <c r="D30" s="58"/>
      <c r="E30" s="55"/>
      <c r="F30" s="55"/>
      <c r="G30" s="40"/>
      <c r="H30" s="2" t="s">
        <v>0</v>
      </c>
      <c r="I30" s="3">
        <v>666</v>
      </c>
      <c r="J30" s="12">
        <v>1</v>
      </c>
      <c r="K30" s="12">
        <v>13</v>
      </c>
      <c r="L30" s="46" t="s">
        <v>234</v>
      </c>
      <c r="M30" s="47" t="s">
        <v>222</v>
      </c>
      <c r="N30" s="47" t="s">
        <v>234</v>
      </c>
      <c r="O30" s="47" t="s">
        <v>1</v>
      </c>
      <c r="P30" s="7"/>
      <c r="Q30" s="345">
        <f>Q31+Q32</f>
        <v>0</v>
      </c>
      <c r="R30" s="124">
        <f>R31+R32</f>
        <v>0</v>
      </c>
      <c r="T30" s="230"/>
    </row>
    <row r="31" spans="1:20" ht="18.75" hidden="1">
      <c r="A31" s="50"/>
      <c r="B31" s="49"/>
      <c r="C31" s="57"/>
      <c r="D31" s="58"/>
      <c r="E31" s="55"/>
      <c r="F31" s="55"/>
      <c r="G31" s="40"/>
      <c r="H31" s="8" t="s">
        <v>210</v>
      </c>
      <c r="I31" s="3">
        <v>666</v>
      </c>
      <c r="J31" s="12">
        <v>1</v>
      </c>
      <c r="K31" s="12">
        <v>13</v>
      </c>
      <c r="L31" s="46" t="s">
        <v>234</v>
      </c>
      <c r="M31" s="47" t="s">
        <v>222</v>
      </c>
      <c r="N31" s="47" t="s">
        <v>234</v>
      </c>
      <c r="O31" s="47" t="s">
        <v>1</v>
      </c>
      <c r="P31" s="7">
        <v>120</v>
      </c>
      <c r="Q31" s="345">
        <v>0</v>
      </c>
      <c r="R31" s="124"/>
      <c r="T31" s="230"/>
    </row>
    <row r="32" spans="1:20" ht="18.75" hidden="1">
      <c r="A32" s="50"/>
      <c r="B32" s="49"/>
      <c r="C32" s="57"/>
      <c r="D32" s="58"/>
      <c r="E32" s="55"/>
      <c r="F32" s="55"/>
      <c r="G32" s="40"/>
      <c r="H32" s="2" t="s">
        <v>277</v>
      </c>
      <c r="I32" s="3">
        <v>666</v>
      </c>
      <c r="J32" s="12">
        <v>1</v>
      </c>
      <c r="K32" s="12">
        <v>13</v>
      </c>
      <c r="L32" s="46" t="s">
        <v>234</v>
      </c>
      <c r="M32" s="47" t="s">
        <v>222</v>
      </c>
      <c r="N32" s="47" t="s">
        <v>234</v>
      </c>
      <c r="O32" s="47" t="s">
        <v>1</v>
      </c>
      <c r="P32" s="7">
        <v>240</v>
      </c>
      <c r="Q32" s="345">
        <v>0</v>
      </c>
      <c r="R32" s="124"/>
      <c r="T32" s="230"/>
    </row>
    <row r="33" spans="1:20" ht="19.5" hidden="1">
      <c r="A33" s="50"/>
      <c r="B33" s="49"/>
      <c r="C33" s="57"/>
      <c r="D33" s="58"/>
      <c r="E33" s="55"/>
      <c r="F33" s="55"/>
      <c r="G33" s="40"/>
      <c r="H33" s="231" t="s">
        <v>504</v>
      </c>
      <c r="I33" s="77">
        <v>666</v>
      </c>
      <c r="J33" s="78">
        <v>10</v>
      </c>
      <c r="K33" s="78"/>
      <c r="L33" s="79"/>
      <c r="M33" s="80"/>
      <c r="N33" s="80"/>
      <c r="O33" s="80"/>
      <c r="P33" s="77"/>
      <c r="Q33" s="347">
        <f aca="true" t="shared" si="0" ref="Q33:R35">Q34</f>
        <v>0</v>
      </c>
      <c r="R33" s="123">
        <f t="shared" si="0"/>
        <v>0</v>
      </c>
      <c r="T33" s="230"/>
    </row>
    <row r="34" spans="1:20" ht="19.5" hidden="1">
      <c r="A34" s="50"/>
      <c r="B34" s="49"/>
      <c r="C34" s="57"/>
      <c r="D34" s="58"/>
      <c r="E34" s="55"/>
      <c r="F34" s="55"/>
      <c r="G34" s="40"/>
      <c r="H34" s="231" t="s">
        <v>505</v>
      </c>
      <c r="I34" s="77">
        <v>666</v>
      </c>
      <c r="J34" s="78">
        <v>10</v>
      </c>
      <c r="K34" s="78">
        <v>3</v>
      </c>
      <c r="L34" s="79"/>
      <c r="M34" s="80"/>
      <c r="N34" s="80"/>
      <c r="O34" s="80"/>
      <c r="P34" s="77"/>
      <c r="Q34" s="347">
        <f t="shared" si="0"/>
        <v>0</v>
      </c>
      <c r="R34" s="123">
        <f t="shared" si="0"/>
        <v>0</v>
      </c>
      <c r="T34" s="230"/>
    </row>
    <row r="35" spans="1:20" ht="31.5" hidden="1">
      <c r="A35" s="50"/>
      <c r="B35" s="49"/>
      <c r="C35" s="57"/>
      <c r="D35" s="58"/>
      <c r="E35" s="55"/>
      <c r="F35" s="55"/>
      <c r="G35" s="40"/>
      <c r="H35" s="8" t="s">
        <v>503</v>
      </c>
      <c r="I35" s="3">
        <v>666</v>
      </c>
      <c r="J35" s="12">
        <v>10</v>
      </c>
      <c r="K35" s="12">
        <v>3</v>
      </c>
      <c r="L35" s="46" t="s">
        <v>234</v>
      </c>
      <c r="M35" s="47" t="s">
        <v>222</v>
      </c>
      <c r="N35" s="47" t="s">
        <v>231</v>
      </c>
      <c r="O35" s="47" t="s">
        <v>240</v>
      </c>
      <c r="P35" s="7"/>
      <c r="Q35" s="345">
        <f t="shared" si="0"/>
        <v>0</v>
      </c>
      <c r="R35" s="124">
        <f t="shared" si="0"/>
        <v>0</v>
      </c>
      <c r="T35" s="230"/>
    </row>
    <row r="36" spans="1:20" ht="18.75" hidden="1">
      <c r="A36" s="50"/>
      <c r="B36" s="49"/>
      <c r="C36" s="57"/>
      <c r="D36" s="58"/>
      <c r="E36" s="55"/>
      <c r="F36" s="55"/>
      <c r="G36" s="40"/>
      <c r="H36" s="173" t="s">
        <v>506</v>
      </c>
      <c r="I36" s="7">
        <v>666</v>
      </c>
      <c r="J36" s="12">
        <v>10</v>
      </c>
      <c r="K36" s="12">
        <v>3</v>
      </c>
      <c r="L36" s="46" t="s">
        <v>234</v>
      </c>
      <c r="M36" s="47" t="s">
        <v>222</v>
      </c>
      <c r="N36" s="47" t="s">
        <v>235</v>
      </c>
      <c r="O36" s="47" t="s">
        <v>240</v>
      </c>
      <c r="P36" s="7"/>
      <c r="Q36" s="345">
        <f>Q37+Q39</f>
        <v>0</v>
      </c>
      <c r="R36" s="124">
        <f>R37+R39</f>
        <v>0</v>
      </c>
      <c r="T36" s="230"/>
    </row>
    <row r="37" spans="1:20" ht="31.5" hidden="1">
      <c r="A37" s="50"/>
      <c r="B37" s="49"/>
      <c r="C37" s="57"/>
      <c r="D37" s="58"/>
      <c r="E37" s="55"/>
      <c r="F37" s="55"/>
      <c r="G37" s="40"/>
      <c r="H37" s="8" t="s">
        <v>0</v>
      </c>
      <c r="I37" s="7">
        <v>666</v>
      </c>
      <c r="J37" s="12">
        <v>10</v>
      </c>
      <c r="K37" s="12">
        <v>3</v>
      </c>
      <c r="L37" s="46" t="s">
        <v>234</v>
      </c>
      <c r="M37" s="47" t="s">
        <v>222</v>
      </c>
      <c r="N37" s="47" t="s">
        <v>235</v>
      </c>
      <c r="O37" s="47" t="s">
        <v>1</v>
      </c>
      <c r="P37" s="7"/>
      <c r="Q37" s="345">
        <f>Q38</f>
        <v>0</v>
      </c>
      <c r="R37" s="124">
        <f>R38</f>
        <v>0</v>
      </c>
      <c r="T37" s="230"/>
    </row>
    <row r="38" spans="1:20" ht="18.75" hidden="1">
      <c r="A38" s="50"/>
      <c r="B38" s="49"/>
      <c r="C38" s="57"/>
      <c r="D38" s="58"/>
      <c r="E38" s="55"/>
      <c r="F38" s="55"/>
      <c r="G38" s="40"/>
      <c r="H38" s="2" t="s">
        <v>281</v>
      </c>
      <c r="I38" s="3">
        <v>666</v>
      </c>
      <c r="J38" s="12">
        <v>10</v>
      </c>
      <c r="K38" s="12">
        <v>3</v>
      </c>
      <c r="L38" s="46" t="s">
        <v>234</v>
      </c>
      <c r="M38" s="47" t="s">
        <v>222</v>
      </c>
      <c r="N38" s="47" t="s">
        <v>235</v>
      </c>
      <c r="O38" s="47" t="s">
        <v>1</v>
      </c>
      <c r="P38" s="7">
        <v>310</v>
      </c>
      <c r="Q38" s="345">
        <f>108-108</f>
        <v>0</v>
      </c>
      <c r="R38" s="124"/>
      <c r="T38" s="230"/>
    </row>
    <row r="39" spans="1:20" ht="18.75" hidden="1">
      <c r="A39" s="50"/>
      <c r="B39" s="49"/>
      <c r="C39" s="57"/>
      <c r="D39" s="58"/>
      <c r="E39" s="55"/>
      <c r="F39" s="55"/>
      <c r="G39" s="40"/>
      <c r="H39" s="173" t="s">
        <v>473</v>
      </c>
      <c r="I39" s="7">
        <v>666</v>
      </c>
      <c r="J39" s="12">
        <v>10</v>
      </c>
      <c r="K39" s="12">
        <v>3</v>
      </c>
      <c r="L39" s="46" t="s">
        <v>234</v>
      </c>
      <c r="M39" s="47" t="s">
        <v>222</v>
      </c>
      <c r="N39" s="47" t="s">
        <v>235</v>
      </c>
      <c r="O39" s="47" t="s">
        <v>462</v>
      </c>
      <c r="P39" s="7"/>
      <c r="Q39" s="345">
        <f>Q40</f>
        <v>0</v>
      </c>
      <c r="R39" s="124">
        <f>R40</f>
        <v>0</v>
      </c>
      <c r="T39" s="230"/>
    </row>
    <row r="40" spans="1:20" ht="18.75" hidden="1">
      <c r="A40" s="50"/>
      <c r="B40" s="49"/>
      <c r="C40" s="57"/>
      <c r="D40" s="58"/>
      <c r="E40" s="55"/>
      <c r="F40" s="55"/>
      <c r="G40" s="40"/>
      <c r="H40" s="8" t="s">
        <v>463</v>
      </c>
      <c r="I40" s="7">
        <v>666</v>
      </c>
      <c r="J40" s="12">
        <v>10</v>
      </c>
      <c r="K40" s="12">
        <v>3</v>
      </c>
      <c r="L40" s="46" t="s">
        <v>234</v>
      </c>
      <c r="M40" s="47" t="s">
        <v>222</v>
      </c>
      <c r="N40" s="47" t="s">
        <v>235</v>
      </c>
      <c r="O40" s="47" t="s">
        <v>462</v>
      </c>
      <c r="P40" s="7">
        <v>330</v>
      </c>
      <c r="Q40" s="345">
        <v>0</v>
      </c>
      <c r="R40" s="124"/>
      <c r="T40" s="230"/>
    </row>
    <row r="41" spans="1:20" ht="16.5">
      <c r="A41" s="50"/>
      <c r="B41" s="49"/>
      <c r="C41" s="57"/>
      <c r="D41" s="58"/>
      <c r="E41" s="55"/>
      <c r="F41" s="55"/>
      <c r="G41" s="40"/>
      <c r="H41" s="22" t="s">
        <v>507</v>
      </c>
      <c r="I41" s="10">
        <v>667</v>
      </c>
      <c r="J41" s="11"/>
      <c r="K41" s="11"/>
      <c r="L41" s="11"/>
      <c r="M41" s="73"/>
      <c r="N41" s="73"/>
      <c r="O41" s="73"/>
      <c r="P41" s="10"/>
      <c r="Q41" s="232">
        <f aca="true" t="shared" si="1" ref="Q41:R43">Q42</f>
        <v>1654.6000000000001</v>
      </c>
      <c r="R41" s="232">
        <f t="shared" si="1"/>
        <v>1625.8</v>
      </c>
      <c r="T41" s="230"/>
    </row>
    <row r="42" spans="1:20" ht="17.25">
      <c r="A42" s="50"/>
      <c r="B42" s="49"/>
      <c r="C42" s="57"/>
      <c r="D42" s="58"/>
      <c r="E42" s="55"/>
      <c r="F42" s="55"/>
      <c r="G42" s="40"/>
      <c r="H42" s="231" t="s">
        <v>502</v>
      </c>
      <c r="I42" s="202">
        <v>667</v>
      </c>
      <c r="J42" s="181">
        <v>1</v>
      </c>
      <c r="K42" s="181" t="s">
        <v>241</v>
      </c>
      <c r="L42" s="181"/>
      <c r="M42" s="183"/>
      <c r="N42" s="183"/>
      <c r="O42" s="183"/>
      <c r="P42" s="202"/>
      <c r="Q42" s="184">
        <f t="shared" si="1"/>
        <v>1654.6000000000001</v>
      </c>
      <c r="R42" s="184">
        <f t="shared" si="1"/>
        <v>1625.8</v>
      </c>
      <c r="T42" s="230"/>
    </row>
    <row r="43" spans="1:20" s="111" customFormat="1" ht="31.5">
      <c r="A43" s="81"/>
      <c r="B43" s="82"/>
      <c r="C43" s="96"/>
      <c r="D43" s="106"/>
      <c r="E43" s="84"/>
      <c r="F43" s="84"/>
      <c r="G43" s="75"/>
      <c r="H43" s="169" t="s">
        <v>77</v>
      </c>
      <c r="I43" s="77">
        <v>667</v>
      </c>
      <c r="J43" s="78">
        <v>1</v>
      </c>
      <c r="K43" s="78">
        <v>6</v>
      </c>
      <c r="L43" s="78"/>
      <c r="M43" s="80"/>
      <c r="N43" s="80"/>
      <c r="O43" s="80"/>
      <c r="P43" s="77"/>
      <c r="Q43" s="233">
        <f t="shared" si="1"/>
        <v>1654.6000000000001</v>
      </c>
      <c r="R43" s="233">
        <f t="shared" si="1"/>
        <v>1625.8</v>
      </c>
      <c r="S43" s="283"/>
      <c r="T43" s="230"/>
    </row>
    <row r="44" spans="1:20" ht="18.75">
      <c r="A44" s="48"/>
      <c r="B44" s="49"/>
      <c r="C44" s="57"/>
      <c r="D44" s="58"/>
      <c r="E44" s="55"/>
      <c r="F44" s="55"/>
      <c r="G44" s="40"/>
      <c r="H44" s="8" t="s">
        <v>37</v>
      </c>
      <c r="I44" s="7">
        <v>667</v>
      </c>
      <c r="J44" s="12">
        <v>1</v>
      </c>
      <c r="K44" s="12">
        <v>6</v>
      </c>
      <c r="L44" s="12">
        <v>91</v>
      </c>
      <c r="M44" s="47" t="s">
        <v>222</v>
      </c>
      <c r="N44" s="47" t="s">
        <v>231</v>
      </c>
      <c r="O44" s="47" t="s">
        <v>240</v>
      </c>
      <c r="P44" s="7"/>
      <c r="Q44" s="124">
        <f>Q45+Q49</f>
        <v>1654.6000000000001</v>
      </c>
      <c r="R44" s="124">
        <f>R45+R49</f>
        <v>1625.8</v>
      </c>
      <c r="T44" s="230"/>
    </row>
    <row r="45" spans="1:20" ht="18.75">
      <c r="A45" s="48"/>
      <c r="B45" s="49"/>
      <c r="C45" s="57"/>
      <c r="D45" s="58"/>
      <c r="E45" s="55"/>
      <c r="F45" s="55"/>
      <c r="G45" s="40"/>
      <c r="H45" s="8" t="s">
        <v>64</v>
      </c>
      <c r="I45" s="7">
        <v>667</v>
      </c>
      <c r="J45" s="12">
        <v>1</v>
      </c>
      <c r="K45" s="12">
        <v>6</v>
      </c>
      <c r="L45" s="12">
        <v>91</v>
      </c>
      <c r="M45" s="47" t="s">
        <v>222</v>
      </c>
      <c r="N45" s="47" t="s">
        <v>231</v>
      </c>
      <c r="O45" s="47" t="s">
        <v>243</v>
      </c>
      <c r="P45" s="7"/>
      <c r="Q45" s="124">
        <f>Q46+Q47+Q48</f>
        <v>1347.9</v>
      </c>
      <c r="R45" s="124">
        <f>R46+R47+R48</f>
        <v>1319.1</v>
      </c>
      <c r="T45" s="230"/>
    </row>
    <row r="46" spans="1:20" ht="18.75">
      <c r="A46" s="50"/>
      <c r="B46" s="49"/>
      <c r="C46" s="57"/>
      <c r="D46" s="58"/>
      <c r="E46" s="55"/>
      <c r="F46" s="55"/>
      <c r="G46" s="40"/>
      <c r="H46" s="8" t="s">
        <v>210</v>
      </c>
      <c r="I46" s="7">
        <v>667</v>
      </c>
      <c r="J46" s="12">
        <v>1</v>
      </c>
      <c r="K46" s="12">
        <v>6</v>
      </c>
      <c r="L46" s="12">
        <v>91</v>
      </c>
      <c r="M46" s="47" t="s">
        <v>222</v>
      </c>
      <c r="N46" s="47" t="s">
        <v>231</v>
      </c>
      <c r="O46" s="47" t="s">
        <v>243</v>
      </c>
      <c r="P46" s="7">
        <v>120</v>
      </c>
      <c r="Q46" s="124">
        <f>1224.9-3.3</f>
        <v>1221.6000000000001</v>
      </c>
      <c r="R46" s="124">
        <v>1192.8</v>
      </c>
      <c r="T46" s="230"/>
    </row>
    <row r="47" spans="1:20" ht="18.75">
      <c r="A47" s="50"/>
      <c r="B47" s="49"/>
      <c r="C47" s="57"/>
      <c r="D47" s="58"/>
      <c r="E47" s="55"/>
      <c r="F47" s="55"/>
      <c r="G47" s="40"/>
      <c r="H47" s="2" t="s">
        <v>277</v>
      </c>
      <c r="I47" s="7">
        <v>667</v>
      </c>
      <c r="J47" s="12">
        <v>1</v>
      </c>
      <c r="K47" s="12">
        <v>6</v>
      </c>
      <c r="L47" s="12">
        <v>91</v>
      </c>
      <c r="M47" s="47" t="s">
        <v>222</v>
      </c>
      <c r="N47" s="47" t="s">
        <v>231</v>
      </c>
      <c r="O47" s="47" t="s">
        <v>243</v>
      </c>
      <c r="P47" s="7">
        <v>240</v>
      </c>
      <c r="Q47" s="124">
        <f>123-0.1+3.3+0.1</f>
        <v>126.3</v>
      </c>
      <c r="R47" s="124">
        <v>126.3</v>
      </c>
      <c r="T47" s="230"/>
    </row>
    <row r="48" spans="1:20" ht="18.75" hidden="1">
      <c r="A48" s="50"/>
      <c r="B48" s="49"/>
      <c r="C48" s="57"/>
      <c r="D48" s="58"/>
      <c r="E48" s="55"/>
      <c r="F48" s="55"/>
      <c r="G48" s="40"/>
      <c r="H48" s="8" t="s">
        <v>278</v>
      </c>
      <c r="I48" s="7">
        <v>667</v>
      </c>
      <c r="J48" s="12">
        <v>1</v>
      </c>
      <c r="K48" s="12">
        <v>6</v>
      </c>
      <c r="L48" s="12">
        <v>91</v>
      </c>
      <c r="M48" s="47" t="s">
        <v>222</v>
      </c>
      <c r="N48" s="47" t="s">
        <v>231</v>
      </c>
      <c r="O48" s="47" t="s">
        <v>243</v>
      </c>
      <c r="P48" s="7">
        <v>850</v>
      </c>
      <c r="Q48" s="345">
        <f>0.1-0.1</f>
        <v>0</v>
      </c>
      <c r="R48" s="124">
        <v>0</v>
      </c>
      <c r="T48" s="230"/>
    </row>
    <row r="49" spans="1:20" ht="31.5">
      <c r="A49" s="48"/>
      <c r="B49" s="49"/>
      <c r="C49" s="57"/>
      <c r="D49" s="58"/>
      <c r="E49" s="55"/>
      <c r="F49" s="55"/>
      <c r="G49" s="40"/>
      <c r="H49" s="8" t="s">
        <v>353</v>
      </c>
      <c r="I49" s="7">
        <v>667</v>
      </c>
      <c r="J49" s="12">
        <v>1</v>
      </c>
      <c r="K49" s="12">
        <v>6</v>
      </c>
      <c r="L49" s="12">
        <v>91</v>
      </c>
      <c r="M49" s="47" t="s">
        <v>222</v>
      </c>
      <c r="N49" s="47" t="s">
        <v>231</v>
      </c>
      <c r="O49" s="47" t="s">
        <v>352</v>
      </c>
      <c r="P49" s="7"/>
      <c r="Q49" s="124">
        <f>Q50</f>
        <v>306.7</v>
      </c>
      <c r="R49" s="124">
        <f>R50</f>
        <v>306.7</v>
      </c>
      <c r="T49" s="230"/>
    </row>
    <row r="50" spans="1:20" ht="18.75">
      <c r="A50" s="50"/>
      <c r="B50" s="49"/>
      <c r="C50" s="57"/>
      <c r="D50" s="58"/>
      <c r="E50" s="55"/>
      <c r="F50" s="55"/>
      <c r="G50" s="40"/>
      <c r="H50" s="8" t="s">
        <v>210</v>
      </c>
      <c r="I50" s="7">
        <v>667</v>
      </c>
      <c r="J50" s="12">
        <v>1</v>
      </c>
      <c r="K50" s="12">
        <v>6</v>
      </c>
      <c r="L50" s="12">
        <v>91</v>
      </c>
      <c r="M50" s="47" t="s">
        <v>222</v>
      </c>
      <c r="N50" s="47" t="s">
        <v>231</v>
      </c>
      <c r="O50" s="47" t="s">
        <v>352</v>
      </c>
      <c r="P50" s="7">
        <v>120</v>
      </c>
      <c r="Q50" s="124">
        <v>306.7</v>
      </c>
      <c r="R50" s="124">
        <v>306.7</v>
      </c>
      <c r="T50" s="230"/>
    </row>
    <row r="51" spans="1:20" ht="16.5">
      <c r="A51" s="50"/>
      <c r="B51" s="49"/>
      <c r="C51" s="57"/>
      <c r="D51" s="58"/>
      <c r="E51" s="55"/>
      <c r="F51" s="55"/>
      <c r="G51" s="40"/>
      <c r="H51" s="234" t="s">
        <v>508</v>
      </c>
      <c r="I51" s="235">
        <v>668</v>
      </c>
      <c r="J51" s="236"/>
      <c r="K51" s="11"/>
      <c r="L51" s="72"/>
      <c r="M51" s="73"/>
      <c r="N51" s="73"/>
      <c r="O51" s="73"/>
      <c r="P51" s="18"/>
      <c r="Q51" s="237">
        <f>Q52+Q123+Q166+Q224+Q301+Q328+Q354+Q386+Q392+Q431</f>
        <v>494394.70000000007</v>
      </c>
      <c r="R51" s="237">
        <f>R52+R123+R166+R224+R301+R328+R354+R386+R392+R431</f>
        <v>465744.6</v>
      </c>
      <c r="T51" s="230"/>
    </row>
    <row r="52" spans="1:20" s="111" customFormat="1" ht="17.25">
      <c r="A52" s="81"/>
      <c r="B52" s="82"/>
      <c r="C52" s="81"/>
      <c r="D52" s="83"/>
      <c r="E52" s="84"/>
      <c r="F52" s="84"/>
      <c r="G52" s="75"/>
      <c r="H52" s="231" t="s">
        <v>502</v>
      </c>
      <c r="I52" s="179">
        <v>668</v>
      </c>
      <c r="J52" s="238">
        <v>1</v>
      </c>
      <c r="K52" s="181" t="s">
        <v>241</v>
      </c>
      <c r="L52" s="182"/>
      <c r="M52" s="183"/>
      <c r="N52" s="183"/>
      <c r="O52" s="183"/>
      <c r="P52" s="180"/>
      <c r="Q52" s="239">
        <f>Q53+Q62+Q74+Q79+Q83</f>
        <v>90122.7</v>
      </c>
      <c r="R52" s="239">
        <f>R53+R62+R74+R79+R83</f>
        <v>89232.4</v>
      </c>
      <c r="S52" s="283"/>
      <c r="T52" s="230"/>
    </row>
    <row r="53" spans="1:20" ht="31.5">
      <c r="A53" s="48"/>
      <c r="B53" s="49"/>
      <c r="C53" s="48"/>
      <c r="D53" s="60"/>
      <c r="E53" s="55"/>
      <c r="F53" s="55"/>
      <c r="G53" s="40"/>
      <c r="H53" s="169" t="s">
        <v>228</v>
      </c>
      <c r="I53" s="85">
        <v>668</v>
      </c>
      <c r="J53" s="86">
        <v>1</v>
      </c>
      <c r="K53" s="78">
        <v>2</v>
      </c>
      <c r="L53" s="79"/>
      <c r="M53" s="80"/>
      <c r="N53" s="80"/>
      <c r="O53" s="80"/>
      <c r="P53" s="85"/>
      <c r="Q53" s="126">
        <f>Q54</f>
        <v>3219.8999999999996</v>
      </c>
      <c r="R53" s="126">
        <f>R54</f>
        <v>3219.9</v>
      </c>
      <c r="T53" s="230"/>
    </row>
    <row r="54" spans="1:20" ht="31.5">
      <c r="A54" s="48"/>
      <c r="B54" s="49"/>
      <c r="C54" s="48"/>
      <c r="D54" s="60"/>
      <c r="E54" s="55"/>
      <c r="F54" s="55"/>
      <c r="G54" s="40"/>
      <c r="H54" s="8" t="s">
        <v>509</v>
      </c>
      <c r="I54" s="3">
        <v>668</v>
      </c>
      <c r="J54" s="14">
        <v>1</v>
      </c>
      <c r="K54" s="12">
        <v>2</v>
      </c>
      <c r="L54" s="46" t="s">
        <v>510</v>
      </c>
      <c r="M54" s="47" t="s">
        <v>222</v>
      </c>
      <c r="N54" s="47" t="s">
        <v>231</v>
      </c>
      <c r="O54" s="47" t="s">
        <v>240</v>
      </c>
      <c r="P54" s="3"/>
      <c r="Q54" s="125">
        <f>Q55</f>
        <v>3219.8999999999996</v>
      </c>
      <c r="R54" s="125">
        <f>R55</f>
        <v>3219.9</v>
      </c>
      <c r="T54" s="230"/>
    </row>
    <row r="55" spans="1:20" ht="31.5">
      <c r="A55" s="48"/>
      <c r="B55" s="49"/>
      <c r="C55" s="48"/>
      <c r="D55" s="60"/>
      <c r="E55" s="55"/>
      <c r="F55" s="55"/>
      <c r="G55" s="40"/>
      <c r="H55" s="8" t="s">
        <v>511</v>
      </c>
      <c r="I55" s="3">
        <v>668</v>
      </c>
      <c r="J55" s="14">
        <v>1</v>
      </c>
      <c r="K55" s="12">
        <v>2</v>
      </c>
      <c r="L55" s="46" t="s">
        <v>510</v>
      </c>
      <c r="M55" s="47" t="s">
        <v>222</v>
      </c>
      <c r="N55" s="47" t="s">
        <v>223</v>
      </c>
      <c r="O55" s="47" t="s">
        <v>240</v>
      </c>
      <c r="P55" s="3"/>
      <c r="Q55" s="125">
        <f>Q56+Q60+Q58</f>
        <v>3219.8999999999996</v>
      </c>
      <c r="R55" s="125">
        <f>R56+R60+R58</f>
        <v>3219.9</v>
      </c>
      <c r="T55" s="230"/>
    </row>
    <row r="56" spans="1:20" ht="18.75">
      <c r="A56" s="48"/>
      <c r="B56" s="49"/>
      <c r="C56" s="48"/>
      <c r="D56" s="60"/>
      <c r="E56" s="55"/>
      <c r="F56" s="55"/>
      <c r="G56" s="40"/>
      <c r="H56" s="8" t="s">
        <v>302</v>
      </c>
      <c r="I56" s="3">
        <v>668</v>
      </c>
      <c r="J56" s="14">
        <v>1</v>
      </c>
      <c r="K56" s="12">
        <v>2</v>
      </c>
      <c r="L56" s="46" t="s">
        <v>510</v>
      </c>
      <c r="M56" s="47" t="s">
        <v>222</v>
      </c>
      <c r="N56" s="47" t="s">
        <v>223</v>
      </c>
      <c r="O56" s="47" t="s">
        <v>243</v>
      </c>
      <c r="P56" s="3"/>
      <c r="Q56" s="125">
        <f>Q57</f>
        <v>2377.7999999999997</v>
      </c>
      <c r="R56" s="125">
        <f>R57</f>
        <v>2377.8</v>
      </c>
      <c r="T56" s="230"/>
    </row>
    <row r="57" spans="1:20" ht="18.75">
      <c r="A57" s="48"/>
      <c r="B57" s="49"/>
      <c r="C57" s="48"/>
      <c r="D57" s="60"/>
      <c r="E57" s="55"/>
      <c r="F57" s="55"/>
      <c r="G57" s="40"/>
      <c r="H57" s="8" t="s">
        <v>210</v>
      </c>
      <c r="I57" s="3">
        <v>668</v>
      </c>
      <c r="J57" s="14">
        <v>1</v>
      </c>
      <c r="K57" s="12">
        <v>2</v>
      </c>
      <c r="L57" s="46" t="s">
        <v>510</v>
      </c>
      <c r="M57" s="47" t="s">
        <v>222</v>
      </c>
      <c r="N57" s="47" t="s">
        <v>223</v>
      </c>
      <c r="O57" s="47" t="s">
        <v>243</v>
      </c>
      <c r="P57" s="3">
        <v>120</v>
      </c>
      <c r="Q57" s="125">
        <f>1745+186.4+298.5+50.5+49.6+286.4+7.6+43.8-286.4-43.8+40.2</f>
        <v>2377.7999999999997</v>
      </c>
      <c r="R57" s="125">
        <v>2377.8</v>
      </c>
      <c r="T57" s="230"/>
    </row>
    <row r="58" spans="1:20" ht="31.5">
      <c r="A58" s="48"/>
      <c r="B58" s="49"/>
      <c r="C58" s="48"/>
      <c r="D58" s="60"/>
      <c r="E58" s="55"/>
      <c r="F58" s="55"/>
      <c r="G58" s="40"/>
      <c r="H58" s="8" t="s">
        <v>458</v>
      </c>
      <c r="I58" s="3">
        <v>668</v>
      </c>
      <c r="J58" s="14">
        <v>1</v>
      </c>
      <c r="K58" s="12">
        <v>2</v>
      </c>
      <c r="L58" s="46" t="s">
        <v>510</v>
      </c>
      <c r="M58" s="47" t="s">
        <v>222</v>
      </c>
      <c r="N58" s="47" t="s">
        <v>223</v>
      </c>
      <c r="O58" s="47" t="s">
        <v>457</v>
      </c>
      <c r="P58" s="3"/>
      <c r="Q58" s="125">
        <f>Q59</f>
        <v>330.2</v>
      </c>
      <c r="R58" s="125">
        <f>R59</f>
        <v>330.2</v>
      </c>
      <c r="T58" s="230"/>
    </row>
    <row r="59" spans="1:20" ht="18.75">
      <c r="A59" s="48"/>
      <c r="B59" s="49"/>
      <c r="C59" s="48"/>
      <c r="D59" s="60"/>
      <c r="E59" s="55"/>
      <c r="F59" s="55"/>
      <c r="G59" s="40"/>
      <c r="H59" s="8" t="s">
        <v>210</v>
      </c>
      <c r="I59" s="3">
        <v>668</v>
      </c>
      <c r="J59" s="14">
        <v>1</v>
      </c>
      <c r="K59" s="12">
        <v>2</v>
      </c>
      <c r="L59" s="46" t="s">
        <v>510</v>
      </c>
      <c r="M59" s="47" t="s">
        <v>222</v>
      </c>
      <c r="N59" s="47" t="s">
        <v>223</v>
      </c>
      <c r="O59" s="47" t="s">
        <v>457</v>
      </c>
      <c r="P59" s="3">
        <v>120</v>
      </c>
      <c r="Q59" s="125">
        <f>286.4+43.8</f>
        <v>330.2</v>
      </c>
      <c r="R59" s="125">
        <v>330.2</v>
      </c>
      <c r="T59" s="230"/>
    </row>
    <row r="60" spans="1:20" ht="31.5">
      <c r="A60" s="48"/>
      <c r="B60" s="49"/>
      <c r="C60" s="48"/>
      <c r="D60" s="60"/>
      <c r="E60" s="55"/>
      <c r="F60" s="55"/>
      <c r="G60" s="40"/>
      <c r="H60" s="8" t="s">
        <v>353</v>
      </c>
      <c r="I60" s="3">
        <v>668</v>
      </c>
      <c r="J60" s="14">
        <v>1</v>
      </c>
      <c r="K60" s="12">
        <v>2</v>
      </c>
      <c r="L60" s="46" t="s">
        <v>510</v>
      </c>
      <c r="M60" s="47" t="s">
        <v>222</v>
      </c>
      <c r="N60" s="47" t="s">
        <v>223</v>
      </c>
      <c r="O60" s="47" t="s">
        <v>352</v>
      </c>
      <c r="P60" s="3"/>
      <c r="Q60" s="125">
        <f>Q61</f>
        <v>511.9</v>
      </c>
      <c r="R60" s="125">
        <f>R61</f>
        <v>511.9</v>
      </c>
      <c r="T60" s="230"/>
    </row>
    <row r="61" spans="1:20" ht="18.75">
      <c r="A61" s="39"/>
      <c r="B61" s="39"/>
      <c r="C61" s="39"/>
      <c r="D61" s="39"/>
      <c r="E61" s="39"/>
      <c r="F61" s="39"/>
      <c r="G61" s="40"/>
      <c r="H61" s="8" t="s">
        <v>210</v>
      </c>
      <c r="I61" s="3">
        <v>668</v>
      </c>
      <c r="J61" s="14">
        <v>1</v>
      </c>
      <c r="K61" s="12">
        <v>2</v>
      </c>
      <c r="L61" s="46" t="s">
        <v>510</v>
      </c>
      <c r="M61" s="47" t="s">
        <v>222</v>
      </c>
      <c r="N61" s="47" t="s">
        <v>223</v>
      </c>
      <c r="O61" s="47" t="s">
        <v>352</v>
      </c>
      <c r="P61" s="3">
        <v>120</v>
      </c>
      <c r="Q61" s="125">
        <v>511.9</v>
      </c>
      <c r="R61" s="125">
        <v>511.9</v>
      </c>
      <c r="T61" s="230"/>
    </row>
    <row r="62" spans="1:20" ht="31.5">
      <c r="A62" s="39"/>
      <c r="B62" s="39"/>
      <c r="C62" s="39"/>
      <c r="D62" s="39"/>
      <c r="E62" s="39"/>
      <c r="F62" s="39"/>
      <c r="G62" s="40"/>
      <c r="H62" s="169" t="s">
        <v>512</v>
      </c>
      <c r="I62" s="85">
        <v>668</v>
      </c>
      <c r="J62" s="86">
        <v>1</v>
      </c>
      <c r="K62" s="78">
        <v>4</v>
      </c>
      <c r="L62" s="79"/>
      <c r="M62" s="80"/>
      <c r="N62" s="80"/>
      <c r="O62" s="80"/>
      <c r="P62" s="85"/>
      <c r="Q62" s="126">
        <f>Q63</f>
        <v>29031.399999999998</v>
      </c>
      <c r="R62" s="126">
        <f>R63</f>
        <v>28556.399999999994</v>
      </c>
      <c r="T62" s="230"/>
    </row>
    <row r="63" spans="1:20" ht="31.5">
      <c r="A63" s="39"/>
      <c r="B63" s="39"/>
      <c r="C63" s="39"/>
      <c r="D63" s="39"/>
      <c r="E63" s="39"/>
      <c r="F63" s="39"/>
      <c r="G63" s="40"/>
      <c r="H63" s="8" t="s">
        <v>509</v>
      </c>
      <c r="I63" s="3">
        <v>668</v>
      </c>
      <c r="J63" s="14">
        <v>1</v>
      </c>
      <c r="K63" s="12">
        <v>4</v>
      </c>
      <c r="L63" s="46" t="s">
        <v>510</v>
      </c>
      <c r="M63" s="47" t="s">
        <v>222</v>
      </c>
      <c r="N63" s="47" t="s">
        <v>231</v>
      </c>
      <c r="O63" s="47" t="s">
        <v>240</v>
      </c>
      <c r="P63" s="3"/>
      <c r="Q63" s="125">
        <f>Q64</f>
        <v>29031.399999999998</v>
      </c>
      <c r="R63" s="125">
        <f>R64</f>
        <v>28556.399999999994</v>
      </c>
      <c r="T63" s="230"/>
    </row>
    <row r="64" spans="1:20" ht="31.5">
      <c r="A64" s="39"/>
      <c r="B64" s="39"/>
      <c r="C64" s="39"/>
      <c r="D64" s="39"/>
      <c r="E64" s="39"/>
      <c r="F64" s="39"/>
      <c r="G64" s="40"/>
      <c r="H64" s="8" t="s">
        <v>511</v>
      </c>
      <c r="I64" s="3">
        <v>668</v>
      </c>
      <c r="J64" s="14">
        <v>1</v>
      </c>
      <c r="K64" s="12">
        <v>4</v>
      </c>
      <c r="L64" s="46" t="s">
        <v>510</v>
      </c>
      <c r="M64" s="47" t="s">
        <v>222</v>
      </c>
      <c r="N64" s="47" t="s">
        <v>223</v>
      </c>
      <c r="O64" s="47" t="s">
        <v>240</v>
      </c>
      <c r="P64" s="3"/>
      <c r="Q64" s="125">
        <f>Q65+Q72+Q70</f>
        <v>29031.399999999998</v>
      </c>
      <c r="R64" s="125">
        <f>R65+R72+R70</f>
        <v>28556.399999999994</v>
      </c>
      <c r="T64" s="230"/>
    </row>
    <row r="65" spans="1:20" ht="18.75">
      <c r="A65" s="48"/>
      <c r="B65" s="49"/>
      <c r="C65" s="48"/>
      <c r="D65" s="60"/>
      <c r="E65" s="55"/>
      <c r="F65" s="55"/>
      <c r="G65" s="40"/>
      <c r="H65" s="8" t="s">
        <v>64</v>
      </c>
      <c r="I65" s="3">
        <v>668</v>
      </c>
      <c r="J65" s="14">
        <v>1</v>
      </c>
      <c r="K65" s="12">
        <v>4</v>
      </c>
      <c r="L65" s="46" t="s">
        <v>510</v>
      </c>
      <c r="M65" s="47" t="s">
        <v>222</v>
      </c>
      <c r="N65" s="47" t="s">
        <v>223</v>
      </c>
      <c r="O65" s="47" t="s">
        <v>243</v>
      </c>
      <c r="P65" s="3"/>
      <c r="Q65" s="125">
        <f>Q66+Q67+Q69+Q68</f>
        <v>23776.399999999998</v>
      </c>
      <c r="R65" s="125">
        <f>R66+R67+R69+R68</f>
        <v>23301.399999999994</v>
      </c>
      <c r="T65" s="230"/>
    </row>
    <row r="66" spans="1:20" s="111" customFormat="1" ht="18.75">
      <c r="A66" s="81"/>
      <c r="B66" s="82"/>
      <c r="C66" s="81"/>
      <c r="D66" s="83"/>
      <c r="E66" s="84"/>
      <c r="F66" s="84"/>
      <c r="G66" s="75"/>
      <c r="H66" s="8" t="s">
        <v>210</v>
      </c>
      <c r="I66" s="3">
        <v>668</v>
      </c>
      <c r="J66" s="14">
        <v>1</v>
      </c>
      <c r="K66" s="12">
        <v>4</v>
      </c>
      <c r="L66" s="46" t="s">
        <v>510</v>
      </c>
      <c r="M66" s="47" t="s">
        <v>222</v>
      </c>
      <c r="N66" s="47" t="s">
        <v>223</v>
      </c>
      <c r="O66" s="47" t="s">
        <v>243</v>
      </c>
      <c r="P66" s="3">
        <v>120</v>
      </c>
      <c r="Q66" s="125">
        <f>21115.1+634.6+191.7-2-1.8-75.2-50+215.1-132+132+100-20-44+3.3-349-30-300+397+120.7-24-397-120.7-280.6+240.4</f>
        <v>21323.6</v>
      </c>
      <c r="R66" s="125">
        <v>21317.1</v>
      </c>
      <c r="S66" s="283"/>
      <c r="T66" s="230"/>
    </row>
    <row r="67" spans="1:20" ht="18.75">
      <c r="A67" s="50"/>
      <c r="B67" s="49"/>
      <c r="C67" s="54"/>
      <c r="D67" s="52"/>
      <c r="E67" s="355">
        <v>5203500</v>
      </c>
      <c r="F67" s="355"/>
      <c r="G67" s="40">
        <v>521</v>
      </c>
      <c r="H67" s="2" t="s">
        <v>277</v>
      </c>
      <c r="I67" s="3">
        <v>668</v>
      </c>
      <c r="J67" s="12">
        <v>1</v>
      </c>
      <c r="K67" s="12">
        <v>4</v>
      </c>
      <c r="L67" s="46" t="s">
        <v>510</v>
      </c>
      <c r="M67" s="47" t="s">
        <v>222</v>
      </c>
      <c r="N67" s="47" t="s">
        <v>223</v>
      </c>
      <c r="O67" s="47" t="s">
        <v>243</v>
      </c>
      <c r="P67" s="7">
        <v>240</v>
      </c>
      <c r="Q67" s="124">
        <f>2507.2-300+80-79.8-10-65+6.7-167.4</f>
        <v>1971.6999999999994</v>
      </c>
      <c r="R67" s="124">
        <v>1560.6</v>
      </c>
      <c r="T67" s="230"/>
    </row>
    <row r="68" spans="1:20" ht="18.75">
      <c r="A68" s="61"/>
      <c r="B68" s="62"/>
      <c r="C68" s="57"/>
      <c r="D68" s="58"/>
      <c r="E68" s="55"/>
      <c r="F68" s="55"/>
      <c r="G68" s="40"/>
      <c r="H68" s="8" t="s">
        <v>282</v>
      </c>
      <c r="I68" s="3">
        <v>668</v>
      </c>
      <c r="J68" s="14">
        <v>1</v>
      </c>
      <c r="K68" s="12">
        <v>4</v>
      </c>
      <c r="L68" s="46" t="s">
        <v>510</v>
      </c>
      <c r="M68" s="47" t="s">
        <v>222</v>
      </c>
      <c r="N68" s="47" t="s">
        <v>223</v>
      </c>
      <c r="O68" s="47" t="s">
        <v>243</v>
      </c>
      <c r="P68" s="3">
        <v>320</v>
      </c>
      <c r="Q68" s="125">
        <f>2+1.8+75.2</f>
        <v>79</v>
      </c>
      <c r="R68" s="125">
        <v>37.6</v>
      </c>
      <c r="T68" s="230"/>
    </row>
    <row r="69" spans="1:20" ht="18.75">
      <c r="A69" s="61"/>
      <c r="B69" s="62"/>
      <c r="C69" s="57"/>
      <c r="D69" s="58"/>
      <c r="E69" s="55"/>
      <c r="F69" s="55"/>
      <c r="G69" s="40"/>
      <c r="H69" s="8" t="s">
        <v>278</v>
      </c>
      <c r="I69" s="3">
        <v>668</v>
      </c>
      <c r="J69" s="14">
        <v>1</v>
      </c>
      <c r="K69" s="12">
        <v>4</v>
      </c>
      <c r="L69" s="46" t="s">
        <v>510</v>
      </c>
      <c r="M69" s="47" t="s">
        <v>222</v>
      </c>
      <c r="N69" s="47" t="s">
        <v>223</v>
      </c>
      <c r="O69" s="47" t="s">
        <v>243</v>
      </c>
      <c r="P69" s="3">
        <v>850</v>
      </c>
      <c r="Q69" s="125">
        <f>900.1-118.8-69.8-1.6-2-100-180-8.1-14.7-3</f>
        <v>402.1000000000001</v>
      </c>
      <c r="R69" s="125">
        <v>386.1</v>
      </c>
      <c r="T69" s="230"/>
    </row>
    <row r="70" spans="1:20" ht="31.5">
      <c r="A70" s="61"/>
      <c r="B70" s="62"/>
      <c r="C70" s="57"/>
      <c r="D70" s="58"/>
      <c r="E70" s="55"/>
      <c r="F70" s="55"/>
      <c r="G70" s="40"/>
      <c r="H70" s="8" t="s">
        <v>458</v>
      </c>
      <c r="I70" s="3">
        <v>668</v>
      </c>
      <c r="J70" s="14">
        <v>1</v>
      </c>
      <c r="K70" s="12">
        <v>4</v>
      </c>
      <c r="L70" s="46" t="s">
        <v>510</v>
      </c>
      <c r="M70" s="47" t="s">
        <v>222</v>
      </c>
      <c r="N70" s="47" t="s">
        <v>223</v>
      </c>
      <c r="O70" s="47" t="s">
        <v>457</v>
      </c>
      <c r="P70" s="3"/>
      <c r="Q70" s="125">
        <f>Q71</f>
        <v>517.7</v>
      </c>
      <c r="R70" s="125">
        <f>R71</f>
        <v>517.7</v>
      </c>
      <c r="T70" s="230"/>
    </row>
    <row r="71" spans="1:20" ht="18.75">
      <c r="A71" s="61"/>
      <c r="B71" s="63"/>
      <c r="C71" s="57"/>
      <c r="D71" s="60"/>
      <c r="E71" s="55"/>
      <c r="F71" s="55"/>
      <c r="G71" s="40"/>
      <c r="H71" s="8" t="s">
        <v>210</v>
      </c>
      <c r="I71" s="3">
        <v>668</v>
      </c>
      <c r="J71" s="14">
        <v>1</v>
      </c>
      <c r="K71" s="12">
        <v>4</v>
      </c>
      <c r="L71" s="46" t="s">
        <v>510</v>
      </c>
      <c r="M71" s="47" t="s">
        <v>222</v>
      </c>
      <c r="N71" s="47" t="s">
        <v>223</v>
      </c>
      <c r="O71" s="47" t="s">
        <v>457</v>
      </c>
      <c r="P71" s="3">
        <v>120</v>
      </c>
      <c r="Q71" s="125">
        <f>397+120.7</f>
        <v>517.7</v>
      </c>
      <c r="R71" s="125">
        <v>517.7</v>
      </c>
      <c r="T71" s="230"/>
    </row>
    <row r="72" spans="1:20" ht="31.5">
      <c r="A72" s="61"/>
      <c r="B72" s="62"/>
      <c r="C72" s="57"/>
      <c r="D72" s="58"/>
      <c r="E72" s="55"/>
      <c r="F72" s="55"/>
      <c r="G72" s="40"/>
      <c r="H72" s="8" t="s">
        <v>353</v>
      </c>
      <c r="I72" s="3">
        <v>668</v>
      </c>
      <c r="J72" s="14">
        <v>1</v>
      </c>
      <c r="K72" s="12">
        <v>4</v>
      </c>
      <c r="L72" s="46" t="s">
        <v>510</v>
      </c>
      <c r="M72" s="47" t="s">
        <v>222</v>
      </c>
      <c r="N72" s="47" t="s">
        <v>223</v>
      </c>
      <c r="O72" s="47" t="s">
        <v>352</v>
      </c>
      <c r="P72" s="3"/>
      <c r="Q72" s="125">
        <f>Q73</f>
        <v>4737.3</v>
      </c>
      <c r="R72" s="125">
        <f>R73</f>
        <v>4737.3</v>
      </c>
      <c r="T72" s="230"/>
    </row>
    <row r="73" spans="1:20" ht="18.75">
      <c r="A73" s="61"/>
      <c r="B73" s="62"/>
      <c r="C73" s="57"/>
      <c r="D73" s="58"/>
      <c r="E73" s="55"/>
      <c r="F73" s="55"/>
      <c r="G73" s="40"/>
      <c r="H73" s="8" t="s">
        <v>210</v>
      </c>
      <c r="I73" s="3">
        <v>668</v>
      </c>
      <c r="J73" s="14">
        <v>1</v>
      </c>
      <c r="K73" s="12">
        <v>4</v>
      </c>
      <c r="L73" s="46" t="s">
        <v>510</v>
      </c>
      <c r="M73" s="47" t="s">
        <v>222</v>
      </c>
      <c r="N73" s="47" t="s">
        <v>223</v>
      </c>
      <c r="O73" s="47" t="s">
        <v>352</v>
      </c>
      <c r="P73" s="3">
        <v>120</v>
      </c>
      <c r="Q73" s="125">
        <v>4737.3</v>
      </c>
      <c r="R73" s="125">
        <v>4737.3</v>
      </c>
      <c r="T73" s="230"/>
    </row>
    <row r="74" spans="1:20" ht="19.5">
      <c r="A74" s="61"/>
      <c r="B74" s="62"/>
      <c r="C74" s="57"/>
      <c r="D74" s="58"/>
      <c r="E74" s="55"/>
      <c r="F74" s="55"/>
      <c r="G74" s="40"/>
      <c r="H74" s="169" t="s">
        <v>238</v>
      </c>
      <c r="I74" s="85">
        <v>668</v>
      </c>
      <c r="J74" s="78">
        <v>1</v>
      </c>
      <c r="K74" s="78">
        <v>5</v>
      </c>
      <c r="L74" s="79"/>
      <c r="M74" s="80"/>
      <c r="N74" s="80"/>
      <c r="O74" s="80"/>
      <c r="P74" s="77"/>
      <c r="Q74" s="123">
        <f aca="true" t="shared" si="2" ref="Q74:R77">Q75</f>
        <v>0.8</v>
      </c>
      <c r="R74" s="123">
        <f t="shared" si="2"/>
        <v>0.8</v>
      </c>
      <c r="T74" s="230"/>
    </row>
    <row r="75" spans="1:20" ht="31.5">
      <c r="A75" s="61"/>
      <c r="B75" s="62"/>
      <c r="C75" s="57"/>
      <c r="D75" s="58"/>
      <c r="E75" s="55"/>
      <c r="F75" s="55"/>
      <c r="G75" s="40"/>
      <c r="H75" s="8" t="s">
        <v>509</v>
      </c>
      <c r="I75" s="3">
        <v>668</v>
      </c>
      <c r="J75" s="12">
        <v>1</v>
      </c>
      <c r="K75" s="12">
        <v>5</v>
      </c>
      <c r="L75" s="46" t="s">
        <v>510</v>
      </c>
      <c r="M75" s="47" t="s">
        <v>222</v>
      </c>
      <c r="N75" s="47" t="s">
        <v>231</v>
      </c>
      <c r="O75" s="47" t="s">
        <v>240</v>
      </c>
      <c r="P75" s="7"/>
      <c r="Q75" s="124">
        <f t="shared" si="2"/>
        <v>0.8</v>
      </c>
      <c r="R75" s="124">
        <f t="shared" si="2"/>
        <v>0.8</v>
      </c>
      <c r="T75" s="230"/>
    </row>
    <row r="76" spans="1:20" ht="31.5">
      <c r="A76" s="48"/>
      <c r="B76" s="49"/>
      <c r="C76" s="57"/>
      <c r="D76" s="62"/>
      <c r="E76" s="65"/>
      <c r="F76" s="65"/>
      <c r="G76" s="40"/>
      <c r="H76" s="8" t="s">
        <v>513</v>
      </c>
      <c r="I76" s="3">
        <v>668</v>
      </c>
      <c r="J76" s="12">
        <v>1</v>
      </c>
      <c r="K76" s="12">
        <v>5</v>
      </c>
      <c r="L76" s="46" t="s">
        <v>510</v>
      </c>
      <c r="M76" s="47" t="s">
        <v>222</v>
      </c>
      <c r="N76" s="47" t="s">
        <v>225</v>
      </c>
      <c r="O76" s="47" t="s">
        <v>240</v>
      </c>
      <c r="P76" s="7"/>
      <c r="Q76" s="124">
        <f t="shared" si="2"/>
        <v>0.8</v>
      </c>
      <c r="R76" s="124">
        <f t="shared" si="2"/>
        <v>0.8</v>
      </c>
      <c r="T76" s="230"/>
    </row>
    <row r="77" spans="1:20" ht="31.5">
      <c r="A77" s="48"/>
      <c r="B77" s="49"/>
      <c r="C77" s="57"/>
      <c r="D77" s="62"/>
      <c r="E77" s="65"/>
      <c r="F77" s="65"/>
      <c r="G77" s="40"/>
      <c r="H77" s="8" t="s">
        <v>301</v>
      </c>
      <c r="I77" s="3">
        <v>668</v>
      </c>
      <c r="J77" s="12">
        <v>1</v>
      </c>
      <c r="K77" s="12">
        <v>5</v>
      </c>
      <c r="L77" s="46" t="s">
        <v>510</v>
      </c>
      <c r="M77" s="47" t="s">
        <v>222</v>
      </c>
      <c r="N77" s="47" t="s">
        <v>225</v>
      </c>
      <c r="O77" s="47" t="s">
        <v>300</v>
      </c>
      <c r="P77" s="7"/>
      <c r="Q77" s="124">
        <f t="shared" si="2"/>
        <v>0.8</v>
      </c>
      <c r="R77" s="124">
        <f t="shared" si="2"/>
        <v>0.8</v>
      </c>
      <c r="T77" s="230"/>
    </row>
    <row r="78" spans="1:20" ht="18.75">
      <c r="A78" s="65"/>
      <c r="B78" s="62"/>
      <c r="C78" s="57"/>
      <c r="D78" s="62"/>
      <c r="E78" s="65"/>
      <c r="F78" s="65"/>
      <c r="G78" s="40"/>
      <c r="H78" s="2" t="s">
        <v>277</v>
      </c>
      <c r="I78" s="3">
        <v>668</v>
      </c>
      <c r="J78" s="12">
        <v>1</v>
      </c>
      <c r="K78" s="12">
        <v>5</v>
      </c>
      <c r="L78" s="46" t="s">
        <v>510</v>
      </c>
      <c r="M78" s="47" t="s">
        <v>222</v>
      </c>
      <c r="N78" s="47" t="s">
        <v>225</v>
      </c>
      <c r="O78" s="47" t="s">
        <v>300</v>
      </c>
      <c r="P78" s="7">
        <v>240</v>
      </c>
      <c r="Q78" s="124">
        <v>0.8</v>
      </c>
      <c r="R78" s="124">
        <v>0.8</v>
      </c>
      <c r="T78" s="230"/>
    </row>
    <row r="79" spans="1:20" ht="19.5">
      <c r="A79" s="65"/>
      <c r="B79" s="62"/>
      <c r="C79" s="57"/>
      <c r="D79" s="62"/>
      <c r="E79" s="65"/>
      <c r="F79" s="65"/>
      <c r="G79" s="40"/>
      <c r="H79" s="76" t="s">
        <v>514</v>
      </c>
      <c r="I79" s="85">
        <v>668</v>
      </c>
      <c r="J79" s="78">
        <v>1</v>
      </c>
      <c r="K79" s="78">
        <v>11</v>
      </c>
      <c r="L79" s="79"/>
      <c r="M79" s="80"/>
      <c r="N79" s="80"/>
      <c r="O79" s="80"/>
      <c r="P79" s="77"/>
      <c r="Q79" s="123">
        <f aca="true" t="shared" si="3" ref="Q79:R81">Q80</f>
        <v>200</v>
      </c>
      <c r="R79" s="123">
        <f t="shared" si="3"/>
        <v>0</v>
      </c>
      <c r="T79" s="230"/>
    </row>
    <row r="80" spans="1:20" ht="18.75">
      <c r="A80" s="61"/>
      <c r="B80" s="62"/>
      <c r="C80" s="57"/>
      <c r="D80" s="58"/>
      <c r="E80" s="55"/>
      <c r="F80" s="55"/>
      <c r="G80" s="40"/>
      <c r="H80" s="8" t="s">
        <v>514</v>
      </c>
      <c r="I80" s="3">
        <v>668</v>
      </c>
      <c r="J80" s="12">
        <v>1</v>
      </c>
      <c r="K80" s="12">
        <v>11</v>
      </c>
      <c r="L80" s="46" t="s">
        <v>515</v>
      </c>
      <c r="M80" s="47" t="s">
        <v>222</v>
      </c>
      <c r="N80" s="47" t="s">
        <v>231</v>
      </c>
      <c r="O80" s="47" t="s">
        <v>240</v>
      </c>
      <c r="P80" s="7"/>
      <c r="Q80" s="124">
        <f t="shared" si="3"/>
        <v>200</v>
      </c>
      <c r="R80" s="124">
        <f t="shared" si="3"/>
        <v>0</v>
      </c>
      <c r="T80" s="230"/>
    </row>
    <row r="81" spans="1:20" ht="18.75">
      <c r="A81" s="61"/>
      <c r="B81" s="62"/>
      <c r="C81" s="57"/>
      <c r="D81" s="58"/>
      <c r="E81" s="55"/>
      <c r="F81" s="55"/>
      <c r="G81" s="40"/>
      <c r="H81" s="8" t="s">
        <v>516</v>
      </c>
      <c r="I81" s="3">
        <v>668</v>
      </c>
      <c r="J81" s="12">
        <v>1</v>
      </c>
      <c r="K81" s="12">
        <v>11</v>
      </c>
      <c r="L81" s="46" t="s">
        <v>515</v>
      </c>
      <c r="M81" s="47" t="s">
        <v>232</v>
      </c>
      <c r="N81" s="47" t="s">
        <v>231</v>
      </c>
      <c r="O81" s="47" t="s">
        <v>240</v>
      </c>
      <c r="P81" s="7"/>
      <c r="Q81" s="124">
        <f t="shared" si="3"/>
        <v>200</v>
      </c>
      <c r="R81" s="124">
        <f t="shared" si="3"/>
        <v>0</v>
      </c>
      <c r="T81" s="230"/>
    </row>
    <row r="82" spans="1:20" ht="18.75">
      <c r="A82" s="61"/>
      <c r="B82" s="62"/>
      <c r="C82" s="57"/>
      <c r="D82" s="58"/>
      <c r="E82" s="55"/>
      <c r="F82" s="55"/>
      <c r="G82" s="40"/>
      <c r="H82" s="2" t="s">
        <v>517</v>
      </c>
      <c r="I82" s="3">
        <v>668</v>
      </c>
      <c r="J82" s="12">
        <v>1</v>
      </c>
      <c r="K82" s="12">
        <v>11</v>
      </c>
      <c r="L82" s="46" t="s">
        <v>515</v>
      </c>
      <c r="M82" s="47" t="s">
        <v>232</v>
      </c>
      <c r="N82" s="47" t="s">
        <v>231</v>
      </c>
      <c r="O82" s="47" t="s">
        <v>240</v>
      </c>
      <c r="P82" s="7">
        <v>870</v>
      </c>
      <c r="Q82" s="124">
        <f>500-250-50</f>
        <v>200</v>
      </c>
      <c r="R82" s="124">
        <v>0</v>
      </c>
      <c r="T82" s="230"/>
    </row>
    <row r="83" spans="1:20" ht="19.5">
      <c r="A83" s="61"/>
      <c r="B83" s="63"/>
      <c r="C83" s="57"/>
      <c r="D83" s="60"/>
      <c r="E83" s="55"/>
      <c r="F83" s="55"/>
      <c r="G83" s="40"/>
      <c r="H83" s="76" t="s">
        <v>212</v>
      </c>
      <c r="I83" s="85">
        <v>668</v>
      </c>
      <c r="J83" s="78">
        <v>1</v>
      </c>
      <c r="K83" s="78">
        <v>13</v>
      </c>
      <c r="L83" s="79"/>
      <c r="M83" s="80"/>
      <c r="N83" s="80"/>
      <c r="O83" s="80"/>
      <c r="P83" s="77"/>
      <c r="Q83" s="123">
        <f>Q84+Q95+Q100</f>
        <v>57670.600000000006</v>
      </c>
      <c r="R83" s="123">
        <f>R84+R95+R100</f>
        <v>57455.299999999996</v>
      </c>
      <c r="T83" s="230"/>
    </row>
    <row r="84" spans="1:20" ht="31.5">
      <c r="A84" s="61"/>
      <c r="B84" s="63"/>
      <c r="C84" s="57"/>
      <c r="D84" s="60"/>
      <c r="E84" s="55"/>
      <c r="F84" s="55"/>
      <c r="G84" s="40"/>
      <c r="H84" s="8" t="s">
        <v>503</v>
      </c>
      <c r="I84" s="3">
        <v>668</v>
      </c>
      <c r="J84" s="12">
        <v>1</v>
      </c>
      <c r="K84" s="12">
        <v>13</v>
      </c>
      <c r="L84" s="46" t="s">
        <v>234</v>
      </c>
      <c r="M84" s="47" t="s">
        <v>222</v>
      </c>
      <c r="N84" s="47" t="s">
        <v>231</v>
      </c>
      <c r="O84" s="47" t="s">
        <v>240</v>
      </c>
      <c r="P84" s="7"/>
      <c r="Q84" s="124">
        <f>Q85+Q88+Q92</f>
        <v>429.8</v>
      </c>
      <c r="R84" s="124">
        <f>R85+R88+R92</f>
        <v>414.2</v>
      </c>
      <c r="T84" s="230"/>
    </row>
    <row r="85" spans="1:20" ht="18.75">
      <c r="A85" s="61"/>
      <c r="B85" s="63"/>
      <c r="C85" s="57"/>
      <c r="D85" s="60"/>
      <c r="E85" s="55"/>
      <c r="F85" s="55"/>
      <c r="G85" s="40"/>
      <c r="H85" s="8" t="s">
        <v>344</v>
      </c>
      <c r="I85" s="3">
        <v>668</v>
      </c>
      <c r="J85" s="12">
        <v>1</v>
      </c>
      <c r="K85" s="12">
        <v>13</v>
      </c>
      <c r="L85" s="46" t="s">
        <v>234</v>
      </c>
      <c r="M85" s="47" t="s">
        <v>222</v>
      </c>
      <c r="N85" s="47" t="s">
        <v>223</v>
      </c>
      <c r="O85" s="47" t="s">
        <v>240</v>
      </c>
      <c r="P85" s="7"/>
      <c r="Q85" s="124">
        <f>Q87</f>
        <v>220</v>
      </c>
      <c r="R85" s="124">
        <f>R87</f>
        <v>220</v>
      </c>
      <c r="T85" s="230"/>
    </row>
    <row r="86" spans="1:20" ht="31.5">
      <c r="A86" s="48"/>
      <c r="B86" s="49"/>
      <c r="C86" s="57"/>
      <c r="D86" s="62"/>
      <c r="E86" s="65"/>
      <c r="F86" s="65"/>
      <c r="G86" s="40"/>
      <c r="H86" s="8" t="s">
        <v>0</v>
      </c>
      <c r="I86" s="3">
        <v>668</v>
      </c>
      <c r="J86" s="12">
        <v>1</v>
      </c>
      <c r="K86" s="12">
        <v>13</v>
      </c>
      <c r="L86" s="46" t="s">
        <v>234</v>
      </c>
      <c r="M86" s="47" t="s">
        <v>222</v>
      </c>
      <c r="N86" s="47" t="s">
        <v>223</v>
      </c>
      <c r="O86" s="47" t="s">
        <v>1</v>
      </c>
      <c r="P86" s="7"/>
      <c r="Q86" s="124">
        <f>Q87</f>
        <v>220</v>
      </c>
      <c r="R86" s="124">
        <f>R87</f>
        <v>220</v>
      </c>
      <c r="T86" s="230"/>
    </row>
    <row r="87" spans="1:20" ht="18.75">
      <c r="A87" s="48"/>
      <c r="B87" s="49"/>
      <c r="C87" s="57"/>
      <c r="D87" s="62"/>
      <c r="E87" s="65"/>
      <c r="F87" s="65"/>
      <c r="G87" s="40"/>
      <c r="H87" s="8" t="s">
        <v>237</v>
      </c>
      <c r="I87" s="3">
        <v>668</v>
      </c>
      <c r="J87" s="12">
        <v>1</v>
      </c>
      <c r="K87" s="12">
        <v>13</v>
      </c>
      <c r="L87" s="46" t="s">
        <v>234</v>
      </c>
      <c r="M87" s="47" t="s">
        <v>222</v>
      </c>
      <c r="N87" s="47" t="s">
        <v>223</v>
      </c>
      <c r="O87" s="47" t="s">
        <v>1</v>
      </c>
      <c r="P87" s="7">
        <v>340</v>
      </c>
      <c r="Q87" s="124">
        <f>200+60-40</f>
        <v>220</v>
      </c>
      <c r="R87" s="124">
        <v>220</v>
      </c>
      <c r="T87" s="230"/>
    </row>
    <row r="88" spans="1:20" ht="18.75">
      <c r="A88" s="48"/>
      <c r="B88" s="49"/>
      <c r="C88" s="57"/>
      <c r="D88" s="62"/>
      <c r="E88" s="65"/>
      <c r="F88" s="65"/>
      <c r="G88" s="40"/>
      <c r="H88" s="8" t="s">
        <v>345</v>
      </c>
      <c r="I88" s="3">
        <v>668</v>
      </c>
      <c r="J88" s="12">
        <v>1</v>
      </c>
      <c r="K88" s="12">
        <v>13</v>
      </c>
      <c r="L88" s="46" t="s">
        <v>234</v>
      </c>
      <c r="M88" s="47" t="s">
        <v>222</v>
      </c>
      <c r="N88" s="47" t="s">
        <v>234</v>
      </c>
      <c r="O88" s="47" t="s">
        <v>240</v>
      </c>
      <c r="P88" s="7"/>
      <c r="Q88" s="124">
        <f>Q89</f>
        <v>206.6</v>
      </c>
      <c r="R88" s="124">
        <f>R89</f>
        <v>191</v>
      </c>
      <c r="T88" s="230"/>
    </row>
    <row r="89" spans="1:20" ht="31.5">
      <c r="A89" s="48"/>
      <c r="B89" s="49"/>
      <c r="C89" s="57"/>
      <c r="D89" s="62"/>
      <c r="E89" s="65"/>
      <c r="F89" s="65"/>
      <c r="G89" s="40"/>
      <c r="H89" s="8" t="s">
        <v>0</v>
      </c>
      <c r="I89" s="3">
        <v>668</v>
      </c>
      <c r="J89" s="12">
        <v>1</v>
      </c>
      <c r="K89" s="12">
        <v>13</v>
      </c>
      <c r="L89" s="46" t="s">
        <v>234</v>
      </c>
      <c r="M89" s="47" t="s">
        <v>222</v>
      </c>
      <c r="N89" s="47" t="s">
        <v>234</v>
      </c>
      <c r="O89" s="47" t="s">
        <v>1</v>
      </c>
      <c r="P89" s="7"/>
      <c r="Q89" s="124">
        <f>Q90+Q91</f>
        <v>206.6</v>
      </c>
      <c r="R89" s="124">
        <f>R90+R91</f>
        <v>191</v>
      </c>
      <c r="T89" s="230"/>
    </row>
    <row r="90" spans="1:20" ht="18.75">
      <c r="A90" s="48"/>
      <c r="B90" s="49"/>
      <c r="C90" s="57"/>
      <c r="D90" s="62"/>
      <c r="E90" s="65"/>
      <c r="F90" s="65"/>
      <c r="G90" s="40"/>
      <c r="H90" s="8" t="s">
        <v>210</v>
      </c>
      <c r="I90" s="3">
        <v>668</v>
      </c>
      <c r="J90" s="12">
        <v>1</v>
      </c>
      <c r="K90" s="12">
        <v>13</v>
      </c>
      <c r="L90" s="46" t="s">
        <v>234</v>
      </c>
      <c r="M90" s="47" t="s">
        <v>222</v>
      </c>
      <c r="N90" s="47" t="s">
        <v>234</v>
      </c>
      <c r="O90" s="47" t="s">
        <v>1</v>
      </c>
      <c r="P90" s="7">
        <v>120</v>
      </c>
      <c r="Q90" s="124">
        <f>96+71.6-55.6-15.4-6.8</f>
        <v>89.8</v>
      </c>
      <c r="R90" s="124">
        <v>89.7</v>
      </c>
      <c r="T90" s="230"/>
    </row>
    <row r="91" spans="1:20" ht="18.75">
      <c r="A91" s="48"/>
      <c r="B91" s="49"/>
      <c r="C91" s="65"/>
      <c r="D91" s="62"/>
      <c r="E91" s="65"/>
      <c r="F91" s="65"/>
      <c r="G91" s="40"/>
      <c r="H91" s="2" t="s">
        <v>277</v>
      </c>
      <c r="I91" s="3">
        <v>668</v>
      </c>
      <c r="J91" s="12">
        <v>1</v>
      </c>
      <c r="K91" s="12">
        <v>13</v>
      </c>
      <c r="L91" s="46" t="s">
        <v>234</v>
      </c>
      <c r="M91" s="47" t="s">
        <v>222</v>
      </c>
      <c r="N91" s="47" t="s">
        <v>234</v>
      </c>
      <c r="O91" s="47" t="s">
        <v>1</v>
      </c>
      <c r="P91" s="7">
        <v>240</v>
      </c>
      <c r="Q91" s="124">
        <f>23+40+53.8</f>
        <v>116.8</v>
      </c>
      <c r="R91" s="124">
        <v>101.3</v>
      </c>
      <c r="T91" s="230"/>
    </row>
    <row r="92" spans="1:20" ht="18.75">
      <c r="A92" s="50"/>
      <c r="B92" s="49"/>
      <c r="C92" s="48"/>
      <c r="D92" s="352">
        <v>5220000</v>
      </c>
      <c r="E92" s="353"/>
      <c r="F92" s="353"/>
      <c r="G92" s="40">
        <v>622</v>
      </c>
      <c r="H92" s="240" t="s">
        <v>506</v>
      </c>
      <c r="I92" s="7">
        <v>668</v>
      </c>
      <c r="J92" s="12">
        <v>1</v>
      </c>
      <c r="K92" s="12">
        <v>13</v>
      </c>
      <c r="L92" s="46" t="s">
        <v>234</v>
      </c>
      <c r="M92" s="47" t="s">
        <v>222</v>
      </c>
      <c r="N92" s="47" t="s">
        <v>235</v>
      </c>
      <c r="O92" s="47" t="s">
        <v>240</v>
      </c>
      <c r="P92" s="7"/>
      <c r="Q92" s="124">
        <f>Q93</f>
        <v>3.2</v>
      </c>
      <c r="R92" s="124">
        <f>R93</f>
        <v>3.2</v>
      </c>
      <c r="T92" s="230"/>
    </row>
    <row r="93" spans="1:20" ht="31.5">
      <c r="A93" s="50"/>
      <c r="B93" s="49"/>
      <c r="C93" s="48"/>
      <c r="D93" s="52"/>
      <c r="E93" s="51"/>
      <c r="F93" s="51"/>
      <c r="G93" s="40"/>
      <c r="H93" s="240" t="s">
        <v>0</v>
      </c>
      <c r="I93" s="7">
        <v>668</v>
      </c>
      <c r="J93" s="12">
        <v>1</v>
      </c>
      <c r="K93" s="12">
        <v>13</v>
      </c>
      <c r="L93" s="46" t="s">
        <v>234</v>
      </c>
      <c r="M93" s="47" t="s">
        <v>222</v>
      </c>
      <c r="N93" s="47" t="s">
        <v>235</v>
      </c>
      <c r="O93" s="47" t="s">
        <v>1</v>
      </c>
      <c r="P93" s="7"/>
      <c r="Q93" s="124">
        <f>Q94</f>
        <v>3.2</v>
      </c>
      <c r="R93" s="124">
        <f>R94</f>
        <v>3.2</v>
      </c>
      <c r="T93" s="230"/>
    </row>
    <row r="94" spans="1:20" ht="18.75">
      <c r="A94" s="50"/>
      <c r="B94" s="49"/>
      <c r="C94" s="54"/>
      <c r="D94" s="58"/>
      <c r="E94" s="110"/>
      <c r="F94" s="110"/>
      <c r="G94" s="40"/>
      <c r="H94" s="2" t="s">
        <v>277</v>
      </c>
      <c r="I94" s="7">
        <v>668</v>
      </c>
      <c r="J94" s="12">
        <v>1</v>
      </c>
      <c r="K94" s="12">
        <v>13</v>
      </c>
      <c r="L94" s="46" t="s">
        <v>234</v>
      </c>
      <c r="M94" s="47" t="s">
        <v>222</v>
      </c>
      <c r="N94" s="47" t="s">
        <v>235</v>
      </c>
      <c r="O94" s="47" t="s">
        <v>1</v>
      </c>
      <c r="P94" s="7">
        <v>240</v>
      </c>
      <c r="Q94" s="124">
        <f>3.2</f>
        <v>3.2</v>
      </c>
      <c r="R94" s="124">
        <v>3.2</v>
      </c>
      <c r="T94" s="230"/>
    </row>
    <row r="95" spans="1:20" ht="31.5">
      <c r="A95" s="61"/>
      <c r="B95" s="62"/>
      <c r="C95" s="57"/>
      <c r="D95" s="58"/>
      <c r="E95" s="55"/>
      <c r="F95" s="55"/>
      <c r="G95" s="40"/>
      <c r="H95" s="8" t="s">
        <v>518</v>
      </c>
      <c r="I95" s="3">
        <v>668</v>
      </c>
      <c r="J95" s="12">
        <v>1</v>
      </c>
      <c r="K95" s="12">
        <v>13</v>
      </c>
      <c r="L95" s="46" t="s">
        <v>519</v>
      </c>
      <c r="M95" s="47" t="s">
        <v>222</v>
      </c>
      <c r="N95" s="47" t="s">
        <v>231</v>
      </c>
      <c r="O95" s="47" t="s">
        <v>240</v>
      </c>
      <c r="P95" s="7"/>
      <c r="Q95" s="124">
        <f aca="true" t="shared" si="4" ref="Q95:R98">Q96</f>
        <v>500</v>
      </c>
      <c r="R95" s="124">
        <f t="shared" si="4"/>
        <v>416.5</v>
      </c>
      <c r="T95" s="230"/>
    </row>
    <row r="96" spans="1:20" ht="31.5">
      <c r="A96" s="61"/>
      <c r="B96" s="62"/>
      <c r="C96" s="57"/>
      <c r="D96" s="58"/>
      <c r="E96" s="55"/>
      <c r="F96" s="55"/>
      <c r="G96" s="40"/>
      <c r="H96" s="8" t="s">
        <v>525</v>
      </c>
      <c r="I96" s="3">
        <v>668</v>
      </c>
      <c r="J96" s="12">
        <v>1</v>
      </c>
      <c r="K96" s="12">
        <v>13</v>
      </c>
      <c r="L96" s="46" t="s">
        <v>519</v>
      </c>
      <c r="M96" s="47" t="s">
        <v>221</v>
      </c>
      <c r="N96" s="47" t="s">
        <v>231</v>
      </c>
      <c r="O96" s="47" t="s">
        <v>240</v>
      </c>
      <c r="P96" s="7"/>
      <c r="Q96" s="124">
        <f t="shared" si="4"/>
        <v>500</v>
      </c>
      <c r="R96" s="124">
        <f t="shared" si="4"/>
        <v>416.5</v>
      </c>
      <c r="T96" s="230"/>
    </row>
    <row r="97" spans="1:20" ht="31.5">
      <c r="A97" s="61"/>
      <c r="B97" s="63"/>
      <c r="C97" s="57"/>
      <c r="D97" s="60"/>
      <c r="E97" s="55"/>
      <c r="F97" s="55"/>
      <c r="G97" s="40"/>
      <c r="H97" s="8" t="s">
        <v>520</v>
      </c>
      <c r="I97" s="3">
        <v>668</v>
      </c>
      <c r="J97" s="12">
        <v>1</v>
      </c>
      <c r="K97" s="12">
        <v>13</v>
      </c>
      <c r="L97" s="46" t="s">
        <v>519</v>
      </c>
      <c r="M97" s="47" t="s">
        <v>221</v>
      </c>
      <c r="N97" s="47" t="s">
        <v>233</v>
      </c>
      <c r="O97" s="47" t="s">
        <v>240</v>
      </c>
      <c r="P97" s="7"/>
      <c r="Q97" s="124">
        <f t="shared" si="4"/>
        <v>500</v>
      </c>
      <c r="R97" s="124">
        <f t="shared" si="4"/>
        <v>416.5</v>
      </c>
      <c r="T97" s="230"/>
    </row>
    <row r="98" spans="1:20" ht="18.75">
      <c r="A98" s="50"/>
      <c r="B98" s="49"/>
      <c r="C98" s="54"/>
      <c r="D98" s="52"/>
      <c r="E98" s="64"/>
      <c r="F98" s="64"/>
      <c r="G98" s="56">
        <v>120</v>
      </c>
      <c r="H98" s="8" t="s">
        <v>34</v>
      </c>
      <c r="I98" s="3">
        <v>668</v>
      </c>
      <c r="J98" s="12">
        <v>1</v>
      </c>
      <c r="K98" s="12">
        <v>13</v>
      </c>
      <c r="L98" s="46" t="s">
        <v>519</v>
      </c>
      <c r="M98" s="47" t="s">
        <v>221</v>
      </c>
      <c r="N98" s="47" t="s">
        <v>233</v>
      </c>
      <c r="O98" s="47" t="s">
        <v>384</v>
      </c>
      <c r="P98" s="7"/>
      <c r="Q98" s="124">
        <f t="shared" si="4"/>
        <v>500</v>
      </c>
      <c r="R98" s="124">
        <f t="shared" si="4"/>
        <v>416.5</v>
      </c>
      <c r="T98" s="230"/>
    </row>
    <row r="99" spans="1:20" ht="18.75">
      <c r="A99" s="61"/>
      <c r="B99" s="62"/>
      <c r="C99" s="57"/>
      <c r="D99" s="58"/>
      <c r="E99" s="55"/>
      <c r="F99" s="55"/>
      <c r="G99" s="40"/>
      <c r="H99" s="2" t="s">
        <v>277</v>
      </c>
      <c r="I99" s="3">
        <v>668</v>
      </c>
      <c r="J99" s="12">
        <v>1</v>
      </c>
      <c r="K99" s="12">
        <v>13</v>
      </c>
      <c r="L99" s="46" t="s">
        <v>519</v>
      </c>
      <c r="M99" s="47" t="s">
        <v>221</v>
      </c>
      <c r="N99" s="47" t="s">
        <v>233</v>
      </c>
      <c r="O99" s="47" t="s">
        <v>384</v>
      </c>
      <c r="P99" s="7">
        <v>240</v>
      </c>
      <c r="Q99" s="124">
        <v>500</v>
      </c>
      <c r="R99" s="124">
        <v>416.5</v>
      </c>
      <c r="T99" s="230"/>
    </row>
    <row r="100" spans="1:20" ht="31.5">
      <c r="A100" s="61"/>
      <c r="B100" s="62"/>
      <c r="C100" s="57"/>
      <c r="D100" s="58"/>
      <c r="E100" s="55"/>
      <c r="F100" s="55"/>
      <c r="G100" s="40"/>
      <c r="H100" s="8" t="s">
        <v>509</v>
      </c>
      <c r="I100" s="3">
        <v>668</v>
      </c>
      <c r="J100" s="12">
        <v>1</v>
      </c>
      <c r="K100" s="12">
        <v>13</v>
      </c>
      <c r="L100" s="46" t="s">
        <v>510</v>
      </c>
      <c r="M100" s="47" t="s">
        <v>222</v>
      </c>
      <c r="N100" s="47" t="s">
        <v>231</v>
      </c>
      <c r="O100" s="47" t="s">
        <v>240</v>
      </c>
      <c r="P100" s="7"/>
      <c r="Q100" s="124">
        <f>Q101+Q108+Q115</f>
        <v>56740.8</v>
      </c>
      <c r="R100" s="124">
        <f>R101+R108+R115</f>
        <v>56624.6</v>
      </c>
      <c r="T100" s="230"/>
    </row>
    <row r="101" spans="1:20" ht="31.5">
      <c r="A101" s="61"/>
      <c r="B101" s="62"/>
      <c r="C101" s="57"/>
      <c r="D101" s="58"/>
      <c r="E101" s="55"/>
      <c r="F101" s="55"/>
      <c r="G101" s="40"/>
      <c r="H101" s="8" t="s">
        <v>511</v>
      </c>
      <c r="I101" s="3">
        <v>668</v>
      </c>
      <c r="J101" s="12">
        <v>1</v>
      </c>
      <c r="K101" s="12">
        <v>13</v>
      </c>
      <c r="L101" s="46" t="s">
        <v>510</v>
      </c>
      <c r="M101" s="47" t="s">
        <v>222</v>
      </c>
      <c r="N101" s="47" t="s">
        <v>223</v>
      </c>
      <c r="O101" s="47" t="s">
        <v>240</v>
      </c>
      <c r="P101" s="7"/>
      <c r="Q101" s="124">
        <f>Q102+Q106</f>
        <v>3247.1000000000004</v>
      </c>
      <c r="R101" s="124">
        <f>R102+R106</f>
        <v>3131</v>
      </c>
      <c r="T101" s="230"/>
    </row>
    <row r="102" spans="1:20" s="111" customFormat="1" ht="18.75">
      <c r="A102" s="74"/>
      <c r="B102" s="74"/>
      <c r="C102" s="74"/>
      <c r="D102" s="74"/>
      <c r="E102" s="74"/>
      <c r="F102" s="74"/>
      <c r="G102" s="75"/>
      <c r="H102" s="8" t="s">
        <v>64</v>
      </c>
      <c r="I102" s="3">
        <v>668</v>
      </c>
      <c r="J102" s="12">
        <v>1</v>
      </c>
      <c r="K102" s="12">
        <v>13</v>
      </c>
      <c r="L102" s="46" t="s">
        <v>510</v>
      </c>
      <c r="M102" s="47" t="s">
        <v>222</v>
      </c>
      <c r="N102" s="47" t="s">
        <v>223</v>
      </c>
      <c r="O102" s="47" t="s">
        <v>243</v>
      </c>
      <c r="P102" s="7"/>
      <c r="Q102" s="124">
        <f>Q103+Q104+Q105</f>
        <v>3247.1000000000004</v>
      </c>
      <c r="R102" s="124">
        <f>R103+R104+R105</f>
        <v>3131</v>
      </c>
      <c r="S102" s="283"/>
      <c r="T102" s="230"/>
    </row>
    <row r="103" spans="1:20" s="111" customFormat="1" ht="18.75">
      <c r="A103" s="74"/>
      <c r="B103" s="74"/>
      <c r="C103" s="74"/>
      <c r="D103" s="74"/>
      <c r="E103" s="74"/>
      <c r="F103" s="74"/>
      <c r="G103" s="75"/>
      <c r="H103" s="2" t="s">
        <v>277</v>
      </c>
      <c r="I103" s="3">
        <v>668</v>
      </c>
      <c r="J103" s="12">
        <v>1</v>
      </c>
      <c r="K103" s="12">
        <v>13</v>
      </c>
      <c r="L103" s="46" t="s">
        <v>510</v>
      </c>
      <c r="M103" s="47" t="s">
        <v>222</v>
      </c>
      <c r="N103" s="47" t="s">
        <v>223</v>
      </c>
      <c r="O103" s="47" t="s">
        <v>243</v>
      </c>
      <c r="P103" s="7">
        <v>240</v>
      </c>
      <c r="Q103" s="124">
        <f>840+6.4+57.2+146.3+200+435.4+20+10+65-10</f>
        <v>1770.3000000000002</v>
      </c>
      <c r="R103" s="124">
        <v>1684</v>
      </c>
      <c r="S103" s="283"/>
      <c r="T103" s="230"/>
    </row>
    <row r="104" spans="1:20" s="111" customFormat="1" ht="18.75">
      <c r="A104" s="74"/>
      <c r="B104" s="74"/>
      <c r="C104" s="74"/>
      <c r="D104" s="74"/>
      <c r="E104" s="74"/>
      <c r="F104" s="74"/>
      <c r="G104" s="75"/>
      <c r="H104" s="2" t="s">
        <v>284</v>
      </c>
      <c r="I104" s="3">
        <v>668</v>
      </c>
      <c r="J104" s="12">
        <v>1</v>
      </c>
      <c r="K104" s="12">
        <v>13</v>
      </c>
      <c r="L104" s="46" t="s">
        <v>510</v>
      </c>
      <c r="M104" s="47" t="s">
        <v>222</v>
      </c>
      <c r="N104" s="47" t="s">
        <v>223</v>
      </c>
      <c r="O104" s="47" t="s">
        <v>243</v>
      </c>
      <c r="P104" s="7">
        <v>830</v>
      </c>
      <c r="Q104" s="124">
        <f>69.8+50+1.6+105.5-50+2+2</f>
        <v>180.89999999999998</v>
      </c>
      <c r="R104" s="124">
        <v>180.9</v>
      </c>
      <c r="S104" s="283"/>
      <c r="T104" s="230"/>
    </row>
    <row r="105" spans="1:20" s="111" customFormat="1" ht="18.75">
      <c r="A105" s="74"/>
      <c r="B105" s="74"/>
      <c r="C105" s="74"/>
      <c r="D105" s="74"/>
      <c r="E105" s="74"/>
      <c r="F105" s="74"/>
      <c r="G105" s="75"/>
      <c r="H105" s="8" t="s">
        <v>278</v>
      </c>
      <c r="I105" s="3">
        <v>668</v>
      </c>
      <c r="J105" s="12">
        <v>1</v>
      </c>
      <c r="K105" s="12">
        <v>13</v>
      </c>
      <c r="L105" s="46" t="s">
        <v>510</v>
      </c>
      <c r="M105" s="47" t="s">
        <v>222</v>
      </c>
      <c r="N105" s="47" t="s">
        <v>223</v>
      </c>
      <c r="O105" s="47" t="s">
        <v>243</v>
      </c>
      <c r="P105" s="7">
        <v>850</v>
      </c>
      <c r="Q105" s="124">
        <f>82.5+127.6+0.9+50+130+516.5+225+44+30+59.5+29.9</f>
        <v>1295.9</v>
      </c>
      <c r="R105" s="124">
        <v>1266.1</v>
      </c>
      <c r="S105" s="283"/>
      <c r="T105" s="230"/>
    </row>
    <row r="106" spans="1:20" s="111" customFormat="1" ht="18.75" hidden="1">
      <c r="A106" s="74"/>
      <c r="B106" s="74"/>
      <c r="C106" s="74"/>
      <c r="D106" s="74"/>
      <c r="E106" s="74"/>
      <c r="F106" s="74"/>
      <c r="G106" s="75"/>
      <c r="H106" s="241" t="s">
        <v>456</v>
      </c>
      <c r="I106" s="3">
        <v>668</v>
      </c>
      <c r="J106" s="12">
        <v>1</v>
      </c>
      <c r="K106" s="12">
        <v>13</v>
      </c>
      <c r="L106" s="46" t="s">
        <v>510</v>
      </c>
      <c r="M106" s="47" t="s">
        <v>222</v>
      </c>
      <c r="N106" s="47" t="s">
        <v>223</v>
      </c>
      <c r="O106" s="47" t="s">
        <v>521</v>
      </c>
      <c r="P106" s="7"/>
      <c r="Q106" s="345">
        <f>Q107</f>
        <v>0</v>
      </c>
      <c r="R106" s="124">
        <f>R107</f>
        <v>0</v>
      </c>
      <c r="S106" s="283"/>
      <c r="T106" s="230"/>
    </row>
    <row r="107" spans="1:20" ht="18.75" hidden="1">
      <c r="A107" s="39"/>
      <c r="B107" s="39"/>
      <c r="C107" s="39"/>
      <c r="D107" s="39"/>
      <c r="E107" s="39"/>
      <c r="F107" s="39"/>
      <c r="G107" s="40"/>
      <c r="H107" s="2" t="s">
        <v>277</v>
      </c>
      <c r="I107" s="3">
        <v>668</v>
      </c>
      <c r="J107" s="12">
        <v>1</v>
      </c>
      <c r="K107" s="12">
        <v>13</v>
      </c>
      <c r="L107" s="46" t="s">
        <v>510</v>
      </c>
      <c r="M107" s="47" t="s">
        <v>222</v>
      </c>
      <c r="N107" s="47" t="s">
        <v>223</v>
      </c>
      <c r="O107" s="47" t="s">
        <v>521</v>
      </c>
      <c r="P107" s="7">
        <v>240</v>
      </c>
      <c r="Q107" s="345">
        <f>60-15.9-10.4-33.7</f>
        <v>0</v>
      </c>
      <c r="R107" s="124"/>
      <c r="T107" s="230"/>
    </row>
    <row r="108" spans="1:20" ht="31.5">
      <c r="A108" s="39"/>
      <c r="B108" s="39"/>
      <c r="C108" s="39"/>
      <c r="D108" s="39"/>
      <c r="E108" s="39"/>
      <c r="F108" s="39"/>
      <c r="G108" s="40"/>
      <c r="H108" s="8" t="s">
        <v>513</v>
      </c>
      <c r="I108" s="3">
        <v>668</v>
      </c>
      <c r="J108" s="12">
        <v>1</v>
      </c>
      <c r="K108" s="12">
        <v>13</v>
      </c>
      <c r="L108" s="46" t="s">
        <v>510</v>
      </c>
      <c r="M108" s="47" t="s">
        <v>222</v>
      </c>
      <c r="N108" s="47" t="s">
        <v>225</v>
      </c>
      <c r="O108" s="47" t="s">
        <v>240</v>
      </c>
      <c r="P108" s="7"/>
      <c r="Q108" s="124">
        <f>Q109+Q112</f>
        <v>1329.6</v>
      </c>
      <c r="R108" s="124">
        <f>R109+R112</f>
        <v>1329.6</v>
      </c>
      <c r="T108" s="230"/>
    </row>
    <row r="109" spans="1:20" ht="47.25">
      <c r="A109" s="39"/>
      <c r="B109" s="39"/>
      <c r="C109" s="39"/>
      <c r="D109" s="39"/>
      <c r="E109" s="39"/>
      <c r="F109" s="39"/>
      <c r="G109" s="40"/>
      <c r="H109" s="8" t="s">
        <v>252</v>
      </c>
      <c r="I109" s="3">
        <v>668</v>
      </c>
      <c r="J109" s="12">
        <v>1</v>
      </c>
      <c r="K109" s="12">
        <v>13</v>
      </c>
      <c r="L109" s="46" t="s">
        <v>510</v>
      </c>
      <c r="M109" s="47" t="s">
        <v>222</v>
      </c>
      <c r="N109" s="47" t="s">
        <v>225</v>
      </c>
      <c r="O109" s="47" t="s">
        <v>248</v>
      </c>
      <c r="P109" s="7"/>
      <c r="Q109" s="124">
        <f>Q110+Q111</f>
        <v>402.6</v>
      </c>
      <c r="R109" s="124">
        <f>R110+R111</f>
        <v>402.6</v>
      </c>
      <c r="T109" s="230"/>
    </row>
    <row r="110" spans="1:20" ht="18.75">
      <c r="A110" s="39"/>
      <c r="B110" s="39"/>
      <c r="C110" s="39"/>
      <c r="D110" s="39"/>
      <c r="E110" s="39"/>
      <c r="F110" s="39"/>
      <c r="G110" s="40"/>
      <c r="H110" s="8" t="s">
        <v>210</v>
      </c>
      <c r="I110" s="3">
        <v>668</v>
      </c>
      <c r="J110" s="12">
        <v>1</v>
      </c>
      <c r="K110" s="12">
        <v>13</v>
      </c>
      <c r="L110" s="46" t="s">
        <v>510</v>
      </c>
      <c r="M110" s="47" t="s">
        <v>222</v>
      </c>
      <c r="N110" s="47" t="s">
        <v>225</v>
      </c>
      <c r="O110" s="47" t="s">
        <v>248</v>
      </c>
      <c r="P110" s="7">
        <v>120</v>
      </c>
      <c r="Q110" s="124">
        <v>301.3</v>
      </c>
      <c r="R110" s="124">
        <v>301.3</v>
      </c>
      <c r="T110" s="230"/>
    </row>
    <row r="111" spans="1:20" ht="18.75">
      <c r="A111" s="39"/>
      <c r="B111" s="39"/>
      <c r="C111" s="39"/>
      <c r="D111" s="39"/>
      <c r="E111" s="39"/>
      <c r="F111" s="39"/>
      <c r="G111" s="40"/>
      <c r="H111" s="2" t="s">
        <v>277</v>
      </c>
      <c r="I111" s="3">
        <v>668</v>
      </c>
      <c r="J111" s="12">
        <v>1</v>
      </c>
      <c r="K111" s="12">
        <v>13</v>
      </c>
      <c r="L111" s="46" t="s">
        <v>510</v>
      </c>
      <c r="M111" s="47" t="s">
        <v>222</v>
      </c>
      <c r="N111" s="47" t="s">
        <v>225</v>
      </c>
      <c r="O111" s="47" t="s">
        <v>248</v>
      </c>
      <c r="P111" s="7">
        <v>240</v>
      </c>
      <c r="Q111" s="124">
        <v>101.3</v>
      </c>
      <c r="R111" s="124">
        <v>101.3</v>
      </c>
      <c r="T111" s="230"/>
    </row>
    <row r="112" spans="1:20" ht="18.75">
      <c r="A112" s="39"/>
      <c r="B112" s="39"/>
      <c r="C112" s="39"/>
      <c r="D112" s="39"/>
      <c r="E112" s="39"/>
      <c r="F112" s="39"/>
      <c r="G112" s="40"/>
      <c r="H112" s="8" t="s">
        <v>322</v>
      </c>
      <c r="I112" s="3">
        <v>668</v>
      </c>
      <c r="J112" s="12">
        <v>1</v>
      </c>
      <c r="K112" s="12">
        <v>13</v>
      </c>
      <c r="L112" s="46" t="s">
        <v>510</v>
      </c>
      <c r="M112" s="47" t="s">
        <v>222</v>
      </c>
      <c r="N112" s="47" t="s">
        <v>225</v>
      </c>
      <c r="O112" s="47" t="s">
        <v>321</v>
      </c>
      <c r="P112" s="7"/>
      <c r="Q112" s="124">
        <f>Q113+Q114</f>
        <v>927</v>
      </c>
      <c r="R112" s="124">
        <f>R113+R114</f>
        <v>927</v>
      </c>
      <c r="T112" s="230"/>
    </row>
    <row r="113" spans="1:20" ht="18.75">
      <c r="A113" s="39"/>
      <c r="B113" s="39"/>
      <c r="C113" s="39"/>
      <c r="D113" s="39"/>
      <c r="E113" s="39"/>
      <c r="F113" s="39"/>
      <c r="G113" s="40"/>
      <c r="H113" s="8" t="s">
        <v>210</v>
      </c>
      <c r="I113" s="3">
        <v>668</v>
      </c>
      <c r="J113" s="12">
        <v>1</v>
      </c>
      <c r="K113" s="12">
        <v>13</v>
      </c>
      <c r="L113" s="46" t="s">
        <v>510</v>
      </c>
      <c r="M113" s="47" t="s">
        <v>222</v>
      </c>
      <c r="N113" s="47" t="s">
        <v>225</v>
      </c>
      <c r="O113" s="47" t="s">
        <v>321</v>
      </c>
      <c r="P113" s="7">
        <v>120</v>
      </c>
      <c r="Q113" s="124">
        <f>877+146.1-166.3</f>
        <v>856.8</v>
      </c>
      <c r="R113" s="124">
        <v>856.8</v>
      </c>
      <c r="T113" s="230"/>
    </row>
    <row r="114" spans="1:20" s="111" customFormat="1" ht="18.75">
      <c r="A114" s="74"/>
      <c r="B114" s="74"/>
      <c r="C114" s="74"/>
      <c r="D114" s="74"/>
      <c r="E114" s="74"/>
      <c r="F114" s="74"/>
      <c r="G114" s="75"/>
      <c r="H114" s="2" t="s">
        <v>277</v>
      </c>
      <c r="I114" s="3">
        <v>668</v>
      </c>
      <c r="J114" s="12">
        <v>1</v>
      </c>
      <c r="K114" s="12">
        <v>13</v>
      </c>
      <c r="L114" s="46" t="s">
        <v>510</v>
      </c>
      <c r="M114" s="47" t="s">
        <v>222</v>
      </c>
      <c r="N114" s="47" t="s">
        <v>225</v>
      </c>
      <c r="O114" s="47" t="s">
        <v>321</v>
      </c>
      <c r="P114" s="7">
        <v>240</v>
      </c>
      <c r="Q114" s="124">
        <f>50+20.2</f>
        <v>70.2</v>
      </c>
      <c r="R114" s="124">
        <v>70.2</v>
      </c>
      <c r="S114" s="283"/>
      <c r="T114" s="230"/>
    </row>
    <row r="115" spans="1:20" s="111" customFormat="1" ht="18.75">
      <c r="A115" s="74"/>
      <c r="B115" s="74"/>
      <c r="C115" s="74"/>
      <c r="D115" s="74"/>
      <c r="E115" s="74"/>
      <c r="F115" s="74"/>
      <c r="G115" s="75"/>
      <c r="H115" s="8" t="s">
        <v>522</v>
      </c>
      <c r="I115" s="3">
        <v>668</v>
      </c>
      <c r="J115" s="12">
        <v>1</v>
      </c>
      <c r="K115" s="12">
        <v>13</v>
      </c>
      <c r="L115" s="46" t="s">
        <v>510</v>
      </c>
      <c r="M115" s="47" t="s">
        <v>222</v>
      </c>
      <c r="N115" s="47" t="s">
        <v>236</v>
      </c>
      <c r="O115" s="47" t="s">
        <v>240</v>
      </c>
      <c r="P115" s="7"/>
      <c r="Q115" s="124">
        <f>Q116+Q119+Q121</f>
        <v>52164.1</v>
      </c>
      <c r="R115" s="124">
        <f>R116+R119+R121</f>
        <v>52164</v>
      </c>
      <c r="S115" s="283"/>
      <c r="T115" s="230"/>
    </row>
    <row r="116" spans="1:20" ht="18.75">
      <c r="A116" s="39"/>
      <c r="B116" s="39"/>
      <c r="C116" s="39"/>
      <c r="D116" s="39"/>
      <c r="E116" s="39"/>
      <c r="F116" s="39"/>
      <c r="G116" s="40"/>
      <c r="H116" s="8" t="s">
        <v>65</v>
      </c>
      <c r="I116" s="3">
        <v>668</v>
      </c>
      <c r="J116" s="12">
        <v>1</v>
      </c>
      <c r="K116" s="12">
        <v>13</v>
      </c>
      <c r="L116" s="46" t="s">
        <v>510</v>
      </c>
      <c r="M116" s="47" t="s">
        <v>222</v>
      </c>
      <c r="N116" s="47" t="s">
        <v>236</v>
      </c>
      <c r="O116" s="47" t="s">
        <v>66</v>
      </c>
      <c r="P116" s="7"/>
      <c r="Q116" s="124">
        <f>Q117+Q118</f>
        <v>36101.2</v>
      </c>
      <c r="R116" s="124">
        <f>R117+R118</f>
        <v>36101.1</v>
      </c>
      <c r="T116" s="230"/>
    </row>
    <row r="117" spans="1:20" ht="18.75">
      <c r="A117" s="39"/>
      <c r="B117" s="39"/>
      <c r="C117" s="39"/>
      <c r="D117" s="39"/>
      <c r="E117" s="39"/>
      <c r="F117" s="39"/>
      <c r="G117" s="40"/>
      <c r="H117" s="8" t="s">
        <v>279</v>
      </c>
      <c r="I117" s="3">
        <v>668</v>
      </c>
      <c r="J117" s="12">
        <v>1</v>
      </c>
      <c r="K117" s="12">
        <v>13</v>
      </c>
      <c r="L117" s="46" t="s">
        <v>510</v>
      </c>
      <c r="M117" s="47" t="s">
        <v>222</v>
      </c>
      <c r="N117" s="47" t="s">
        <v>236</v>
      </c>
      <c r="O117" s="47" t="s">
        <v>66</v>
      </c>
      <c r="P117" s="7">
        <v>610</v>
      </c>
      <c r="Q117" s="124">
        <f>449.9-3.3</f>
        <v>446.59999999999997</v>
      </c>
      <c r="R117" s="124">
        <v>446.6</v>
      </c>
      <c r="T117" s="230"/>
    </row>
    <row r="118" spans="1:20" ht="18.75">
      <c r="A118" s="39"/>
      <c r="B118" s="39"/>
      <c r="C118" s="39"/>
      <c r="D118" s="39"/>
      <c r="E118" s="39"/>
      <c r="F118" s="39"/>
      <c r="G118" s="40"/>
      <c r="H118" s="8" t="s">
        <v>296</v>
      </c>
      <c r="I118" s="3">
        <v>668</v>
      </c>
      <c r="J118" s="12">
        <v>1</v>
      </c>
      <c r="K118" s="12">
        <v>13</v>
      </c>
      <c r="L118" s="46" t="s">
        <v>510</v>
      </c>
      <c r="M118" s="47" t="s">
        <v>222</v>
      </c>
      <c r="N118" s="47" t="s">
        <v>236</v>
      </c>
      <c r="O118" s="47" t="s">
        <v>66</v>
      </c>
      <c r="P118" s="7">
        <v>620</v>
      </c>
      <c r="Q118" s="124">
        <f>26278.3-149.9+10+300+3175.8+1172.4+72+79.8+4716.2</f>
        <v>35654.6</v>
      </c>
      <c r="R118" s="124">
        <v>35654.5</v>
      </c>
      <c r="T118" s="230"/>
    </row>
    <row r="119" spans="1:20" ht="31.5">
      <c r="A119" s="39"/>
      <c r="B119" s="39"/>
      <c r="C119" s="39"/>
      <c r="D119" s="39"/>
      <c r="E119" s="39"/>
      <c r="F119" s="39"/>
      <c r="G119" s="40"/>
      <c r="H119" s="8" t="s">
        <v>353</v>
      </c>
      <c r="I119" s="3">
        <v>668</v>
      </c>
      <c r="J119" s="12">
        <v>1</v>
      </c>
      <c r="K119" s="12">
        <v>13</v>
      </c>
      <c r="L119" s="46" t="s">
        <v>510</v>
      </c>
      <c r="M119" s="47" t="s">
        <v>222</v>
      </c>
      <c r="N119" s="47" t="s">
        <v>236</v>
      </c>
      <c r="O119" s="47" t="s">
        <v>352</v>
      </c>
      <c r="P119" s="7"/>
      <c r="Q119" s="124">
        <f>Q120</f>
        <v>11102.1</v>
      </c>
      <c r="R119" s="124">
        <f>R120</f>
        <v>11102.1</v>
      </c>
      <c r="T119" s="230"/>
    </row>
    <row r="120" spans="1:20" ht="18.75">
      <c r="A120" s="39"/>
      <c r="B120" s="39"/>
      <c r="C120" s="39"/>
      <c r="D120" s="39"/>
      <c r="E120" s="39"/>
      <c r="F120" s="39"/>
      <c r="G120" s="40"/>
      <c r="H120" s="8" t="s">
        <v>296</v>
      </c>
      <c r="I120" s="3">
        <v>668</v>
      </c>
      <c r="J120" s="12">
        <v>1</v>
      </c>
      <c r="K120" s="12">
        <v>13</v>
      </c>
      <c r="L120" s="46" t="s">
        <v>510</v>
      </c>
      <c r="M120" s="47" t="s">
        <v>222</v>
      </c>
      <c r="N120" s="47" t="s">
        <v>236</v>
      </c>
      <c r="O120" s="47" t="s">
        <v>352</v>
      </c>
      <c r="P120" s="7">
        <v>620</v>
      </c>
      <c r="Q120" s="124">
        <v>11102.1</v>
      </c>
      <c r="R120" s="124">
        <v>11102.1</v>
      </c>
      <c r="T120" s="230"/>
    </row>
    <row r="121" spans="1:20" ht="63">
      <c r="A121" s="39"/>
      <c r="B121" s="39"/>
      <c r="C121" s="39"/>
      <c r="D121" s="39"/>
      <c r="E121" s="39"/>
      <c r="F121" s="39"/>
      <c r="G121" s="40"/>
      <c r="H121" s="8" t="s">
        <v>67</v>
      </c>
      <c r="I121" s="3">
        <v>668</v>
      </c>
      <c r="J121" s="12">
        <v>1</v>
      </c>
      <c r="K121" s="12">
        <v>13</v>
      </c>
      <c r="L121" s="46" t="s">
        <v>510</v>
      </c>
      <c r="M121" s="47" t="s">
        <v>222</v>
      </c>
      <c r="N121" s="47" t="s">
        <v>236</v>
      </c>
      <c r="O121" s="47" t="s">
        <v>244</v>
      </c>
      <c r="P121" s="7"/>
      <c r="Q121" s="124">
        <f>Q122</f>
        <v>4960.8</v>
      </c>
      <c r="R121" s="124">
        <f>R122</f>
        <v>4960.8</v>
      </c>
      <c r="T121" s="230"/>
    </row>
    <row r="122" spans="1:20" s="111" customFormat="1" ht="18.75">
      <c r="A122" s="74"/>
      <c r="B122" s="74"/>
      <c r="C122" s="74"/>
      <c r="D122" s="74"/>
      <c r="E122" s="74"/>
      <c r="F122" s="74"/>
      <c r="G122" s="75"/>
      <c r="H122" s="8" t="s">
        <v>279</v>
      </c>
      <c r="I122" s="3">
        <v>668</v>
      </c>
      <c r="J122" s="12">
        <v>1</v>
      </c>
      <c r="K122" s="12">
        <v>13</v>
      </c>
      <c r="L122" s="46" t="s">
        <v>510</v>
      </c>
      <c r="M122" s="47" t="s">
        <v>222</v>
      </c>
      <c r="N122" s="47" t="s">
        <v>236</v>
      </c>
      <c r="O122" s="47" t="s">
        <v>244</v>
      </c>
      <c r="P122" s="7">
        <v>610</v>
      </c>
      <c r="Q122" s="124">
        <f>5168.5-207.7</f>
        <v>4960.8</v>
      </c>
      <c r="R122" s="124">
        <v>4960.8</v>
      </c>
      <c r="S122" s="283"/>
      <c r="T122" s="230"/>
    </row>
    <row r="123" spans="1:20" ht="19.5">
      <c r="A123" s="39"/>
      <c r="B123" s="39"/>
      <c r="C123" s="39"/>
      <c r="D123" s="39"/>
      <c r="E123" s="39"/>
      <c r="F123" s="39"/>
      <c r="G123" s="40"/>
      <c r="H123" s="231" t="s">
        <v>523</v>
      </c>
      <c r="I123" s="85">
        <v>668</v>
      </c>
      <c r="J123" s="78">
        <v>3</v>
      </c>
      <c r="K123" s="78" t="s">
        <v>241</v>
      </c>
      <c r="L123" s="79"/>
      <c r="M123" s="80"/>
      <c r="N123" s="80"/>
      <c r="O123" s="80"/>
      <c r="P123" s="77"/>
      <c r="Q123" s="123">
        <f>Q124+Q138</f>
        <v>3282.2</v>
      </c>
      <c r="R123" s="123">
        <f>R124+R138</f>
        <v>3257</v>
      </c>
      <c r="T123" s="230"/>
    </row>
    <row r="124" spans="1:20" ht="19.5">
      <c r="A124" s="39"/>
      <c r="B124" s="39"/>
      <c r="C124" s="39"/>
      <c r="D124" s="39"/>
      <c r="E124" s="39"/>
      <c r="F124" s="39"/>
      <c r="G124" s="40"/>
      <c r="H124" s="231" t="s">
        <v>442</v>
      </c>
      <c r="I124" s="85">
        <v>668</v>
      </c>
      <c r="J124" s="78">
        <v>3</v>
      </c>
      <c r="K124" s="78">
        <v>9</v>
      </c>
      <c r="L124" s="79"/>
      <c r="M124" s="80"/>
      <c r="N124" s="80"/>
      <c r="O124" s="80"/>
      <c r="P124" s="77"/>
      <c r="Q124" s="123">
        <f>Q125</f>
        <v>3149.7</v>
      </c>
      <c r="R124" s="123">
        <f>R125</f>
        <v>3128</v>
      </c>
      <c r="T124" s="230"/>
    </row>
    <row r="125" spans="1:20" ht="31.5">
      <c r="A125" s="39"/>
      <c r="B125" s="39"/>
      <c r="C125" s="39"/>
      <c r="D125" s="39"/>
      <c r="E125" s="39"/>
      <c r="F125" s="39"/>
      <c r="G125" s="40"/>
      <c r="H125" s="8" t="s">
        <v>518</v>
      </c>
      <c r="I125" s="3">
        <v>668</v>
      </c>
      <c r="J125" s="12">
        <v>3</v>
      </c>
      <c r="K125" s="12">
        <v>9</v>
      </c>
      <c r="L125" s="46" t="s">
        <v>519</v>
      </c>
      <c r="M125" s="47" t="s">
        <v>222</v>
      </c>
      <c r="N125" s="47" t="s">
        <v>231</v>
      </c>
      <c r="O125" s="47" t="s">
        <v>240</v>
      </c>
      <c r="P125" s="7"/>
      <c r="Q125" s="124">
        <f>Q130+Q126</f>
        <v>3149.7</v>
      </c>
      <c r="R125" s="124">
        <f>R130+R126</f>
        <v>3128</v>
      </c>
      <c r="T125" s="230"/>
    </row>
    <row r="126" spans="1:20" ht="18.75">
      <c r="A126" s="39"/>
      <c r="B126" s="39"/>
      <c r="C126" s="39"/>
      <c r="D126" s="39"/>
      <c r="E126" s="39"/>
      <c r="F126" s="39"/>
      <c r="G126" s="40"/>
      <c r="H126" s="173" t="s">
        <v>247</v>
      </c>
      <c r="I126" s="3">
        <v>668</v>
      </c>
      <c r="J126" s="12">
        <v>3</v>
      </c>
      <c r="K126" s="12">
        <v>9</v>
      </c>
      <c r="L126" s="46" t="s">
        <v>519</v>
      </c>
      <c r="M126" s="47" t="s">
        <v>224</v>
      </c>
      <c r="N126" s="47" t="s">
        <v>231</v>
      </c>
      <c r="O126" s="47" t="s">
        <v>240</v>
      </c>
      <c r="P126" s="7"/>
      <c r="Q126" s="124">
        <f aca="true" t="shared" si="5" ref="Q126:R128">Q127</f>
        <v>23.1</v>
      </c>
      <c r="R126" s="124">
        <f t="shared" si="5"/>
        <v>23.1</v>
      </c>
      <c r="T126" s="230"/>
    </row>
    <row r="127" spans="1:20" ht="31.5">
      <c r="A127" s="39"/>
      <c r="B127" s="39"/>
      <c r="C127" s="39"/>
      <c r="D127" s="39"/>
      <c r="E127" s="39"/>
      <c r="F127" s="39"/>
      <c r="G127" s="40"/>
      <c r="H127" s="173" t="s">
        <v>524</v>
      </c>
      <c r="I127" s="3">
        <v>668</v>
      </c>
      <c r="J127" s="12">
        <v>3</v>
      </c>
      <c r="K127" s="12">
        <v>9</v>
      </c>
      <c r="L127" s="46" t="s">
        <v>519</v>
      </c>
      <c r="M127" s="47" t="s">
        <v>224</v>
      </c>
      <c r="N127" s="47" t="s">
        <v>234</v>
      </c>
      <c r="O127" s="47" t="s">
        <v>240</v>
      </c>
      <c r="P127" s="7"/>
      <c r="Q127" s="124">
        <f t="shared" si="5"/>
        <v>23.1</v>
      </c>
      <c r="R127" s="124">
        <f t="shared" si="5"/>
        <v>23.1</v>
      </c>
      <c r="T127" s="230"/>
    </row>
    <row r="128" spans="1:20" ht="18.75">
      <c r="A128" s="39"/>
      <c r="B128" s="39"/>
      <c r="C128" s="39"/>
      <c r="D128" s="39"/>
      <c r="E128" s="39"/>
      <c r="F128" s="39"/>
      <c r="G128" s="40"/>
      <c r="H128" s="173" t="s">
        <v>275</v>
      </c>
      <c r="I128" s="3">
        <v>668</v>
      </c>
      <c r="J128" s="12">
        <v>3</v>
      </c>
      <c r="K128" s="12">
        <v>9</v>
      </c>
      <c r="L128" s="46" t="s">
        <v>519</v>
      </c>
      <c r="M128" s="47" t="s">
        <v>224</v>
      </c>
      <c r="N128" s="47" t="s">
        <v>234</v>
      </c>
      <c r="O128" s="47" t="s">
        <v>71</v>
      </c>
      <c r="P128" s="7"/>
      <c r="Q128" s="124">
        <f t="shared" si="5"/>
        <v>23.1</v>
      </c>
      <c r="R128" s="124">
        <f t="shared" si="5"/>
        <v>23.1</v>
      </c>
      <c r="T128" s="230"/>
    </row>
    <row r="129" spans="1:20" ht="18.75">
      <c r="A129" s="39"/>
      <c r="B129" s="39"/>
      <c r="C129" s="39"/>
      <c r="D129" s="39"/>
      <c r="E129" s="39"/>
      <c r="F129" s="39"/>
      <c r="G129" s="40"/>
      <c r="H129" s="2" t="s">
        <v>277</v>
      </c>
      <c r="I129" s="3">
        <v>668</v>
      </c>
      <c r="J129" s="12">
        <v>3</v>
      </c>
      <c r="K129" s="12">
        <v>9</v>
      </c>
      <c r="L129" s="46" t="s">
        <v>519</v>
      </c>
      <c r="M129" s="47" t="s">
        <v>224</v>
      </c>
      <c r="N129" s="47" t="s">
        <v>234</v>
      </c>
      <c r="O129" s="47" t="s">
        <v>71</v>
      </c>
      <c r="P129" s="7">
        <v>240</v>
      </c>
      <c r="Q129" s="124">
        <v>23.1</v>
      </c>
      <c r="R129" s="124">
        <v>23.1</v>
      </c>
      <c r="T129" s="230"/>
    </row>
    <row r="130" spans="1:20" ht="31.5">
      <c r="A130" s="39"/>
      <c r="B130" s="39"/>
      <c r="C130" s="39"/>
      <c r="D130" s="39"/>
      <c r="E130" s="39"/>
      <c r="F130" s="39"/>
      <c r="G130" s="40"/>
      <c r="H130" s="242" t="s">
        <v>525</v>
      </c>
      <c r="I130" s="3">
        <v>668</v>
      </c>
      <c r="J130" s="12">
        <v>3</v>
      </c>
      <c r="K130" s="12">
        <v>9</v>
      </c>
      <c r="L130" s="46" t="s">
        <v>519</v>
      </c>
      <c r="M130" s="47" t="s">
        <v>221</v>
      </c>
      <c r="N130" s="47" t="s">
        <v>231</v>
      </c>
      <c r="O130" s="47" t="s">
        <v>240</v>
      </c>
      <c r="P130" s="7"/>
      <c r="Q130" s="124">
        <f>Q131</f>
        <v>3126.6</v>
      </c>
      <c r="R130" s="124">
        <f>R131</f>
        <v>3104.9</v>
      </c>
      <c r="T130" s="230"/>
    </row>
    <row r="131" spans="1:20" ht="31.5">
      <c r="A131" s="39"/>
      <c r="B131" s="39"/>
      <c r="C131" s="39"/>
      <c r="D131" s="39"/>
      <c r="E131" s="39"/>
      <c r="F131" s="39"/>
      <c r="G131" s="40"/>
      <c r="H131" s="8" t="s">
        <v>526</v>
      </c>
      <c r="I131" s="3">
        <v>668</v>
      </c>
      <c r="J131" s="12">
        <v>3</v>
      </c>
      <c r="K131" s="12">
        <v>9</v>
      </c>
      <c r="L131" s="46" t="s">
        <v>519</v>
      </c>
      <c r="M131" s="47" t="s">
        <v>221</v>
      </c>
      <c r="N131" s="47" t="s">
        <v>223</v>
      </c>
      <c r="O131" s="47" t="s">
        <v>240</v>
      </c>
      <c r="P131" s="7"/>
      <c r="Q131" s="124">
        <f>Q132+Q136</f>
        <v>3126.6</v>
      </c>
      <c r="R131" s="124">
        <f>R132+R136</f>
        <v>3104.9</v>
      </c>
      <c r="T131" s="230"/>
    </row>
    <row r="132" spans="1:20" ht="18.75">
      <c r="A132" s="39"/>
      <c r="B132" s="39"/>
      <c r="C132" s="39"/>
      <c r="D132" s="39"/>
      <c r="E132" s="39"/>
      <c r="F132" s="39"/>
      <c r="G132" s="40"/>
      <c r="H132" s="8" t="s">
        <v>65</v>
      </c>
      <c r="I132" s="3">
        <v>668</v>
      </c>
      <c r="J132" s="12">
        <v>3</v>
      </c>
      <c r="K132" s="12">
        <v>9</v>
      </c>
      <c r="L132" s="46" t="s">
        <v>519</v>
      </c>
      <c r="M132" s="47" t="s">
        <v>221</v>
      </c>
      <c r="N132" s="47" t="s">
        <v>223</v>
      </c>
      <c r="O132" s="47" t="s">
        <v>66</v>
      </c>
      <c r="P132" s="7"/>
      <c r="Q132" s="124">
        <f>Q133+Q134+Q135</f>
        <v>2586.7</v>
      </c>
      <c r="R132" s="124">
        <f>R133+R134+R135</f>
        <v>2565</v>
      </c>
      <c r="T132" s="230"/>
    </row>
    <row r="133" spans="1:20" ht="18.75">
      <c r="A133" s="39"/>
      <c r="B133" s="39"/>
      <c r="C133" s="39"/>
      <c r="D133" s="39"/>
      <c r="E133" s="39"/>
      <c r="F133" s="39"/>
      <c r="G133" s="40"/>
      <c r="H133" s="8" t="s">
        <v>280</v>
      </c>
      <c r="I133" s="3">
        <v>668</v>
      </c>
      <c r="J133" s="12">
        <v>3</v>
      </c>
      <c r="K133" s="12">
        <v>9</v>
      </c>
      <c r="L133" s="46" t="s">
        <v>519</v>
      </c>
      <c r="M133" s="47" t="s">
        <v>221</v>
      </c>
      <c r="N133" s="47" t="s">
        <v>223</v>
      </c>
      <c r="O133" s="47" t="s">
        <v>66</v>
      </c>
      <c r="P133" s="7">
        <v>110</v>
      </c>
      <c r="Q133" s="124">
        <f>1778.5+20+288.6+74.4</f>
        <v>2161.5</v>
      </c>
      <c r="R133" s="124">
        <v>2155.2</v>
      </c>
      <c r="T133" s="230"/>
    </row>
    <row r="134" spans="1:20" ht="18.75">
      <c r="A134" s="39"/>
      <c r="B134" s="39"/>
      <c r="C134" s="39"/>
      <c r="D134" s="39"/>
      <c r="E134" s="39"/>
      <c r="F134" s="39"/>
      <c r="G134" s="40"/>
      <c r="H134" s="2" t="s">
        <v>277</v>
      </c>
      <c r="I134" s="3">
        <v>668</v>
      </c>
      <c r="J134" s="12">
        <v>3</v>
      </c>
      <c r="K134" s="12">
        <v>9</v>
      </c>
      <c r="L134" s="46" t="s">
        <v>519</v>
      </c>
      <c r="M134" s="47" t="s">
        <v>221</v>
      </c>
      <c r="N134" s="47" t="s">
        <v>223</v>
      </c>
      <c r="O134" s="47" t="s">
        <v>66</v>
      </c>
      <c r="P134" s="7">
        <v>240</v>
      </c>
      <c r="Q134" s="124">
        <f>261-20+184</f>
        <v>425</v>
      </c>
      <c r="R134" s="124">
        <v>409.8</v>
      </c>
      <c r="T134" s="230"/>
    </row>
    <row r="135" spans="1:20" s="111" customFormat="1" ht="18.75">
      <c r="A135" s="74"/>
      <c r="B135" s="74"/>
      <c r="C135" s="74"/>
      <c r="D135" s="74"/>
      <c r="E135" s="74"/>
      <c r="F135" s="74"/>
      <c r="G135" s="75"/>
      <c r="H135" s="8" t="s">
        <v>278</v>
      </c>
      <c r="I135" s="3">
        <v>668</v>
      </c>
      <c r="J135" s="12">
        <v>3</v>
      </c>
      <c r="K135" s="12">
        <v>9</v>
      </c>
      <c r="L135" s="46" t="s">
        <v>519</v>
      </c>
      <c r="M135" s="47" t="s">
        <v>221</v>
      </c>
      <c r="N135" s="47" t="s">
        <v>223</v>
      </c>
      <c r="O135" s="47" t="s">
        <v>66</v>
      </c>
      <c r="P135" s="7">
        <v>850</v>
      </c>
      <c r="Q135" s="124">
        <v>0.2</v>
      </c>
      <c r="R135" s="124">
        <v>0</v>
      </c>
      <c r="S135" s="283"/>
      <c r="T135" s="230"/>
    </row>
    <row r="136" spans="1:20" s="111" customFormat="1" ht="31.5">
      <c r="A136" s="81"/>
      <c r="B136" s="82"/>
      <c r="C136" s="92"/>
      <c r="D136" s="132"/>
      <c r="E136" s="102"/>
      <c r="F136" s="102"/>
      <c r="G136" s="75"/>
      <c r="H136" s="8" t="s">
        <v>353</v>
      </c>
      <c r="I136" s="3">
        <v>668</v>
      </c>
      <c r="J136" s="12">
        <v>3</v>
      </c>
      <c r="K136" s="12">
        <v>9</v>
      </c>
      <c r="L136" s="46" t="s">
        <v>519</v>
      </c>
      <c r="M136" s="47" t="s">
        <v>221</v>
      </c>
      <c r="N136" s="47" t="s">
        <v>223</v>
      </c>
      <c r="O136" s="47" t="s">
        <v>352</v>
      </c>
      <c r="P136" s="7"/>
      <c r="Q136" s="124">
        <f>Q137</f>
        <v>539.9</v>
      </c>
      <c r="R136" s="124">
        <f>R137</f>
        <v>539.9</v>
      </c>
      <c r="S136" s="283"/>
      <c r="T136" s="230"/>
    </row>
    <row r="137" spans="1:20" s="111" customFormat="1" ht="18.75">
      <c r="A137" s="81"/>
      <c r="B137" s="82"/>
      <c r="C137" s="92"/>
      <c r="D137" s="132"/>
      <c r="E137" s="102"/>
      <c r="F137" s="102"/>
      <c r="G137" s="75"/>
      <c r="H137" s="8" t="s">
        <v>280</v>
      </c>
      <c r="I137" s="3">
        <v>668</v>
      </c>
      <c r="J137" s="12">
        <v>3</v>
      </c>
      <c r="K137" s="12">
        <v>9</v>
      </c>
      <c r="L137" s="46" t="s">
        <v>519</v>
      </c>
      <c r="M137" s="47" t="s">
        <v>221</v>
      </c>
      <c r="N137" s="47" t="s">
        <v>223</v>
      </c>
      <c r="O137" s="47" t="s">
        <v>352</v>
      </c>
      <c r="P137" s="7">
        <v>110</v>
      </c>
      <c r="Q137" s="124">
        <v>539.9</v>
      </c>
      <c r="R137" s="124">
        <v>539.9</v>
      </c>
      <c r="S137" s="283"/>
      <c r="T137" s="230"/>
    </row>
    <row r="138" spans="1:20" s="111" customFormat="1" ht="19.5">
      <c r="A138" s="81"/>
      <c r="B138" s="82"/>
      <c r="C138" s="92"/>
      <c r="D138" s="132"/>
      <c r="E138" s="102"/>
      <c r="F138" s="102"/>
      <c r="G138" s="75"/>
      <c r="H138" s="231" t="s">
        <v>219</v>
      </c>
      <c r="I138" s="85">
        <v>668</v>
      </c>
      <c r="J138" s="78">
        <v>3</v>
      </c>
      <c r="K138" s="78">
        <v>14</v>
      </c>
      <c r="L138" s="79"/>
      <c r="M138" s="80"/>
      <c r="N138" s="80"/>
      <c r="O138" s="80"/>
      <c r="P138" s="77"/>
      <c r="Q138" s="123">
        <f>Q139</f>
        <v>132.5</v>
      </c>
      <c r="R138" s="123">
        <f>R139</f>
        <v>129</v>
      </c>
      <c r="S138" s="283"/>
      <c r="T138" s="230"/>
    </row>
    <row r="139" spans="1:20" ht="31.5">
      <c r="A139" s="50"/>
      <c r="B139" s="49"/>
      <c r="C139" s="54"/>
      <c r="D139" s="62"/>
      <c r="E139" s="65"/>
      <c r="F139" s="65"/>
      <c r="G139" s="40"/>
      <c r="H139" s="8" t="s">
        <v>518</v>
      </c>
      <c r="I139" s="3">
        <v>668</v>
      </c>
      <c r="J139" s="12">
        <v>3</v>
      </c>
      <c r="K139" s="12">
        <v>14</v>
      </c>
      <c r="L139" s="46" t="s">
        <v>519</v>
      </c>
      <c r="M139" s="47" t="s">
        <v>222</v>
      </c>
      <c r="N139" s="47" t="s">
        <v>231</v>
      </c>
      <c r="O139" s="47" t="s">
        <v>240</v>
      </c>
      <c r="P139" s="7"/>
      <c r="Q139" s="124">
        <f>Q140+Q155+Q159</f>
        <v>132.5</v>
      </c>
      <c r="R139" s="124">
        <f>R140+R155+R159</f>
        <v>129</v>
      </c>
      <c r="T139" s="230"/>
    </row>
    <row r="140" spans="1:20" ht="18.75">
      <c r="A140" s="50"/>
      <c r="B140" s="49"/>
      <c r="C140" s="54"/>
      <c r="D140" s="62"/>
      <c r="E140" s="65"/>
      <c r="F140" s="65"/>
      <c r="G140" s="40"/>
      <c r="H140" s="173" t="s">
        <v>247</v>
      </c>
      <c r="I140" s="3">
        <v>668</v>
      </c>
      <c r="J140" s="12">
        <v>3</v>
      </c>
      <c r="K140" s="12">
        <v>14</v>
      </c>
      <c r="L140" s="46" t="s">
        <v>519</v>
      </c>
      <c r="M140" s="47" t="s">
        <v>224</v>
      </c>
      <c r="N140" s="47" t="s">
        <v>231</v>
      </c>
      <c r="O140" s="47" t="s">
        <v>240</v>
      </c>
      <c r="P140" s="7"/>
      <c r="Q140" s="124">
        <f>Q141+Q144+Q151</f>
        <v>117.5</v>
      </c>
      <c r="R140" s="124">
        <f>R141+R144+R151</f>
        <v>114</v>
      </c>
      <c r="T140" s="230"/>
    </row>
    <row r="141" spans="1:20" s="111" customFormat="1" ht="31.5">
      <c r="A141" s="81"/>
      <c r="B141" s="82"/>
      <c r="C141" s="92"/>
      <c r="D141" s="89"/>
      <c r="E141" s="93"/>
      <c r="F141" s="93"/>
      <c r="G141" s="94">
        <v>321</v>
      </c>
      <c r="H141" s="173" t="s">
        <v>527</v>
      </c>
      <c r="I141" s="3">
        <v>668</v>
      </c>
      <c r="J141" s="12">
        <v>3</v>
      </c>
      <c r="K141" s="12">
        <v>14</v>
      </c>
      <c r="L141" s="46" t="s">
        <v>519</v>
      </c>
      <c r="M141" s="47" t="s">
        <v>224</v>
      </c>
      <c r="N141" s="47" t="s">
        <v>223</v>
      </c>
      <c r="O141" s="47" t="s">
        <v>240</v>
      </c>
      <c r="P141" s="7"/>
      <c r="Q141" s="124">
        <f>Q142</f>
        <v>25</v>
      </c>
      <c r="R141" s="124">
        <f>R142</f>
        <v>25</v>
      </c>
      <c r="S141" s="283"/>
      <c r="T141" s="230"/>
    </row>
    <row r="142" spans="1:20" ht="18.75">
      <c r="A142" s="50"/>
      <c r="B142" s="49"/>
      <c r="C142" s="54"/>
      <c r="D142" s="52"/>
      <c r="E142" s="64"/>
      <c r="F142" s="64"/>
      <c r="G142" s="56">
        <v>530</v>
      </c>
      <c r="H142" s="173" t="s">
        <v>528</v>
      </c>
      <c r="I142" s="3">
        <v>668</v>
      </c>
      <c r="J142" s="12">
        <v>3</v>
      </c>
      <c r="K142" s="12">
        <v>14</v>
      </c>
      <c r="L142" s="46" t="s">
        <v>519</v>
      </c>
      <c r="M142" s="47" t="s">
        <v>224</v>
      </c>
      <c r="N142" s="47" t="s">
        <v>223</v>
      </c>
      <c r="O142" s="47" t="s">
        <v>529</v>
      </c>
      <c r="P142" s="7"/>
      <c r="Q142" s="124">
        <f>Q143</f>
        <v>25</v>
      </c>
      <c r="R142" s="124">
        <f>R143</f>
        <v>25</v>
      </c>
      <c r="T142" s="230"/>
    </row>
    <row r="143" spans="1:20" ht="18.75">
      <c r="A143" s="50"/>
      <c r="B143" s="49"/>
      <c r="C143" s="54"/>
      <c r="D143" s="52"/>
      <c r="E143" s="64"/>
      <c r="F143" s="64"/>
      <c r="G143" s="56"/>
      <c r="H143" s="2" t="s">
        <v>277</v>
      </c>
      <c r="I143" s="3">
        <v>668</v>
      </c>
      <c r="J143" s="12">
        <v>3</v>
      </c>
      <c r="K143" s="12">
        <v>14</v>
      </c>
      <c r="L143" s="46" t="s">
        <v>519</v>
      </c>
      <c r="M143" s="47" t="s">
        <v>224</v>
      </c>
      <c r="N143" s="47" t="s">
        <v>223</v>
      </c>
      <c r="O143" s="47" t="s">
        <v>529</v>
      </c>
      <c r="P143" s="7">
        <v>240</v>
      </c>
      <c r="Q143" s="124">
        <f>10+15</f>
        <v>25</v>
      </c>
      <c r="R143" s="124">
        <v>25</v>
      </c>
      <c r="T143" s="230"/>
    </row>
    <row r="144" spans="1:20" ht="31.5">
      <c r="A144" s="50"/>
      <c r="B144" s="49"/>
      <c r="C144" s="54"/>
      <c r="D144" s="52"/>
      <c r="E144" s="64"/>
      <c r="F144" s="64"/>
      <c r="G144" s="56"/>
      <c r="H144" s="173" t="s">
        <v>524</v>
      </c>
      <c r="I144" s="3">
        <v>668</v>
      </c>
      <c r="J144" s="12">
        <v>3</v>
      </c>
      <c r="K144" s="12">
        <v>14</v>
      </c>
      <c r="L144" s="46" t="s">
        <v>519</v>
      </c>
      <c r="M144" s="47" t="s">
        <v>224</v>
      </c>
      <c r="N144" s="47" t="s">
        <v>234</v>
      </c>
      <c r="O144" s="47" t="s">
        <v>240</v>
      </c>
      <c r="P144" s="7"/>
      <c r="Q144" s="124">
        <f>Q145+Q149+Q147</f>
        <v>91</v>
      </c>
      <c r="R144" s="124">
        <f>R145+R149+R147</f>
        <v>87.5</v>
      </c>
      <c r="T144" s="230"/>
    </row>
    <row r="145" spans="1:20" ht="18.75">
      <c r="A145" s="50"/>
      <c r="B145" s="49"/>
      <c r="C145" s="54"/>
      <c r="D145" s="52"/>
      <c r="E145" s="64"/>
      <c r="F145" s="64"/>
      <c r="G145" s="56"/>
      <c r="H145" s="173" t="s">
        <v>420</v>
      </c>
      <c r="I145" s="3">
        <v>668</v>
      </c>
      <c r="J145" s="12">
        <v>3</v>
      </c>
      <c r="K145" s="12">
        <v>14</v>
      </c>
      <c r="L145" s="46" t="s">
        <v>519</v>
      </c>
      <c r="M145" s="47" t="s">
        <v>224</v>
      </c>
      <c r="N145" s="47" t="s">
        <v>234</v>
      </c>
      <c r="O145" s="47" t="s">
        <v>419</v>
      </c>
      <c r="P145" s="7"/>
      <c r="Q145" s="124">
        <f>Q146</f>
        <v>5</v>
      </c>
      <c r="R145" s="124">
        <f>R146</f>
        <v>5</v>
      </c>
      <c r="T145" s="230"/>
    </row>
    <row r="146" spans="1:20" ht="18.75">
      <c r="A146" s="50"/>
      <c r="B146" s="49"/>
      <c r="C146" s="54"/>
      <c r="D146" s="52"/>
      <c r="E146" s="55"/>
      <c r="F146" s="55"/>
      <c r="G146" s="56"/>
      <c r="H146" s="2" t="s">
        <v>277</v>
      </c>
      <c r="I146" s="3">
        <v>668</v>
      </c>
      <c r="J146" s="12">
        <v>3</v>
      </c>
      <c r="K146" s="12">
        <v>14</v>
      </c>
      <c r="L146" s="46" t="s">
        <v>519</v>
      </c>
      <c r="M146" s="47" t="s">
        <v>224</v>
      </c>
      <c r="N146" s="47" t="s">
        <v>234</v>
      </c>
      <c r="O146" s="47" t="s">
        <v>419</v>
      </c>
      <c r="P146" s="7">
        <v>240</v>
      </c>
      <c r="Q146" s="124">
        <f>15-10</f>
        <v>5</v>
      </c>
      <c r="R146" s="124">
        <v>5</v>
      </c>
      <c r="T146" s="230"/>
    </row>
    <row r="147" spans="1:20" ht="18.75">
      <c r="A147" s="50"/>
      <c r="B147" s="49"/>
      <c r="C147" s="54"/>
      <c r="D147" s="52"/>
      <c r="E147" s="55"/>
      <c r="F147" s="55"/>
      <c r="G147" s="56"/>
      <c r="H147" s="173" t="s">
        <v>530</v>
      </c>
      <c r="I147" s="3">
        <v>668</v>
      </c>
      <c r="J147" s="12">
        <v>3</v>
      </c>
      <c r="K147" s="12">
        <v>14</v>
      </c>
      <c r="L147" s="46" t="s">
        <v>519</v>
      </c>
      <c r="M147" s="47" t="s">
        <v>224</v>
      </c>
      <c r="N147" s="47" t="s">
        <v>234</v>
      </c>
      <c r="O147" s="47" t="s">
        <v>531</v>
      </c>
      <c r="P147" s="7"/>
      <c r="Q147" s="124">
        <f>Q148</f>
        <v>3.5</v>
      </c>
      <c r="R147" s="124">
        <f>R148</f>
        <v>0</v>
      </c>
      <c r="T147" s="230"/>
    </row>
    <row r="148" spans="1:20" ht="18.75">
      <c r="A148" s="50"/>
      <c r="B148" s="49"/>
      <c r="C148" s="54"/>
      <c r="D148" s="52"/>
      <c r="E148" s="55"/>
      <c r="F148" s="55"/>
      <c r="G148" s="56"/>
      <c r="H148" s="2" t="s">
        <v>277</v>
      </c>
      <c r="I148" s="3">
        <v>668</v>
      </c>
      <c r="J148" s="12">
        <v>3</v>
      </c>
      <c r="K148" s="12">
        <v>14</v>
      </c>
      <c r="L148" s="46" t="s">
        <v>519</v>
      </c>
      <c r="M148" s="47" t="s">
        <v>224</v>
      </c>
      <c r="N148" s="47" t="s">
        <v>234</v>
      </c>
      <c r="O148" s="47" t="s">
        <v>531</v>
      </c>
      <c r="P148" s="7">
        <v>240</v>
      </c>
      <c r="Q148" s="124">
        <v>3.5</v>
      </c>
      <c r="R148" s="124">
        <v>0</v>
      </c>
      <c r="T148" s="230"/>
    </row>
    <row r="149" spans="1:20" ht="18.75">
      <c r="A149" s="50"/>
      <c r="B149" s="49"/>
      <c r="C149" s="54"/>
      <c r="D149" s="52"/>
      <c r="E149" s="55"/>
      <c r="F149" s="55"/>
      <c r="G149" s="56"/>
      <c r="H149" s="173" t="s">
        <v>275</v>
      </c>
      <c r="I149" s="3">
        <v>668</v>
      </c>
      <c r="J149" s="12">
        <v>3</v>
      </c>
      <c r="K149" s="12">
        <v>14</v>
      </c>
      <c r="L149" s="46" t="s">
        <v>519</v>
      </c>
      <c r="M149" s="47" t="s">
        <v>224</v>
      </c>
      <c r="N149" s="47" t="s">
        <v>234</v>
      </c>
      <c r="O149" s="47" t="s">
        <v>71</v>
      </c>
      <c r="P149" s="7"/>
      <c r="Q149" s="124">
        <f>Q150</f>
        <v>82.5</v>
      </c>
      <c r="R149" s="124">
        <f>R150</f>
        <v>82.5</v>
      </c>
      <c r="T149" s="230"/>
    </row>
    <row r="150" spans="1:20" ht="18.75">
      <c r="A150" s="50"/>
      <c r="B150" s="49"/>
      <c r="C150" s="54"/>
      <c r="D150" s="52"/>
      <c r="E150" s="55"/>
      <c r="F150" s="55"/>
      <c r="G150" s="56"/>
      <c r="H150" s="2" t="s">
        <v>277</v>
      </c>
      <c r="I150" s="3">
        <v>668</v>
      </c>
      <c r="J150" s="12">
        <v>3</v>
      </c>
      <c r="K150" s="12">
        <v>14</v>
      </c>
      <c r="L150" s="46" t="s">
        <v>519</v>
      </c>
      <c r="M150" s="47" t="s">
        <v>224</v>
      </c>
      <c r="N150" s="47" t="s">
        <v>234</v>
      </c>
      <c r="O150" s="47" t="s">
        <v>71</v>
      </c>
      <c r="P150" s="7">
        <v>240</v>
      </c>
      <c r="Q150" s="124">
        <f>105.6-23.1</f>
        <v>82.5</v>
      </c>
      <c r="R150" s="124">
        <v>82.5</v>
      </c>
      <c r="T150" s="230"/>
    </row>
    <row r="151" spans="1:20" ht="31.5">
      <c r="A151" s="50"/>
      <c r="B151" s="49"/>
      <c r="C151" s="54"/>
      <c r="D151" s="52"/>
      <c r="E151" s="55"/>
      <c r="F151" s="55"/>
      <c r="G151" s="56"/>
      <c r="H151" s="8" t="s">
        <v>532</v>
      </c>
      <c r="I151" s="3">
        <v>668</v>
      </c>
      <c r="J151" s="12">
        <v>3</v>
      </c>
      <c r="K151" s="12">
        <v>14</v>
      </c>
      <c r="L151" s="46" t="s">
        <v>519</v>
      </c>
      <c r="M151" s="47" t="s">
        <v>224</v>
      </c>
      <c r="N151" s="47" t="s">
        <v>235</v>
      </c>
      <c r="O151" s="47" t="s">
        <v>240</v>
      </c>
      <c r="P151" s="7"/>
      <c r="Q151" s="124">
        <f>Q152</f>
        <v>1.5</v>
      </c>
      <c r="R151" s="124">
        <f>R152</f>
        <v>1.5</v>
      </c>
      <c r="T151" s="230"/>
    </row>
    <row r="152" spans="1:20" ht="18.75">
      <c r="A152" s="50"/>
      <c r="B152" s="49"/>
      <c r="C152" s="54"/>
      <c r="D152" s="52"/>
      <c r="E152" s="55"/>
      <c r="F152" s="55"/>
      <c r="G152" s="56"/>
      <c r="H152" s="1" t="s">
        <v>459</v>
      </c>
      <c r="I152" s="3">
        <v>668</v>
      </c>
      <c r="J152" s="12">
        <v>3</v>
      </c>
      <c r="K152" s="12">
        <v>14</v>
      </c>
      <c r="L152" s="46" t="s">
        <v>519</v>
      </c>
      <c r="M152" s="47" t="s">
        <v>224</v>
      </c>
      <c r="N152" s="47" t="s">
        <v>235</v>
      </c>
      <c r="O152" s="47" t="s">
        <v>419</v>
      </c>
      <c r="P152" s="7"/>
      <c r="Q152" s="124">
        <f>Q153+Q154</f>
        <v>1.5</v>
      </c>
      <c r="R152" s="124">
        <f>R153+R154</f>
        <v>1.5</v>
      </c>
      <c r="T152" s="230"/>
    </row>
    <row r="153" spans="1:20" ht="18.75" hidden="1">
      <c r="A153" s="50"/>
      <c r="B153" s="49"/>
      <c r="C153" s="54"/>
      <c r="D153" s="52"/>
      <c r="E153" s="55"/>
      <c r="F153" s="55"/>
      <c r="G153" s="56"/>
      <c r="H153" s="2" t="s">
        <v>277</v>
      </c>
      <c r="I153" s="3">
        <v>668</v>
      </c>
      <c r="J153" s="12">
        <v>3</v>
      </c>
      <c r="K153" s="12">
        <v>14</v>
      </c>
      <c r="L153" s="46" t="s">
        <v>519</v>
      </c>
      <c r="M153" s="47" t="s">
        <v>224</v>
      </c>
      <c r="N153" s="47" t="s">
        <v>235</v>
      </c>
      <c r="O153" s="47" t="s">
        <v>419</v>
      </c>
      <c r="P153" s="7">
        <v>240</v>
      </c>
      <c r="Q153" s="345">
        <f>5-1.5-3.5</f>
        <v>0</v>
      </c>
      <c r="R153" s="124"/>
      <c r="T153" s="230"/>
    </row>
    <row r="154" spans="1:20" ht="18.75">
      <c r="A154" s="50"/>
      <c r="B154" s="49"/>
      <c r="C154" s="54"/>
      <c r="D154" s="52"/>
      <c r="E154" s="55"/>
      <c r="F154" s="55"/>
      <c r="G154" s="56"/>
      <c r="H154" s="8" t="s">
        <v>278</v>
      </c>
      <c r="I154" s="3">
        <v>668</v>
      </c>
      <c r="J154" s="12">
        <v>3</v>
      </c>
      <c r="K154" s="12">
        <v>14</v>
      </c>
      <c r="L154" s="46" t="s">
        <v>519</v>
      </c>
      <c r="M154" s="47" t="s">
        <v>224</v>
      </c>
      <c r="N154" s="47" t="s">
        <v>235</v>
      </c>
      <c r="O154" s="47" t="s">
        <v>419</v>
      </c>
      <c r="P154" s="7">
        <v>850</v>
      </c>
      <c r="Q154" s="124">
        <v>1.5</v>
      </c>
      <c r="R154" s="124">
        <v>1.5</v>
      </c>
      <c r="T154" s="230"/>
    </row>
    <row r="155" spans="1:20" ht="18.75" hidden="1">
      <c r="A155" s="50"/>
      <c r="B155" s="49"/>
      <c r="C155" s="54"/>
      <c r="D155" s="52"/>
      <c r="E155" s="55"/>
      <c r="F155" s="55"/>
      <c r="G155" s="56"/>
      <c r="H155" s="1" t="s">
        <v>375</v>
      </c>
      <c r="I155" s="3">
        <v>668</v>
      </c>
      <c r="J155" s="12">
        <v>3</v>
      </c>
      <c r="K155" s="12">
        <v>14</v>
      </c>
      <c r="L155" s="46" t="s">
        <v>519</v>
      </c>
      <c r="M155" s="47" t="s">
        <v>220</v>
      </c>
      <c r="N155" s="47" t="s">
        <v>231</v>
      </c>
      <c r="O155" s="47" t="s">
        <v>240</v>
      </c>
      <c r="P155" s="7"/>
      <c r="Q155" s="345">
        <f aca="true" t="shared" si="6" ref="Q155:R157">Q156</f>
        <v>0</v>
      </c>
      <c r="R155" s="124">
        <f t="shared" si="6"/>
        <v>0</v>
      </c>
      <c r="T155" s="230"/>
    </row>
    <row r="156" spans="1:20" ht="31.5" hidden="1">
      <c r="A156" s="50"/>
      <c r="B156" s="49"/>
      <c r="C156" s="54"/>
      <c r="D156" s="52"/>
      <c r="E156" s="55"/>
      <c r="F156" s="55"/>
      <c r="G156" s="56"/>
      <c r="H156" s="8" t="s">
        <v>376</v>
      </c>
      <c r="I156" s="3">
        <v>668</v>
      </c>
      <c r="J156" s="12">
        <v>3</v>
      </c>
      <c r="K156" s="12">
        <v>14</v>
      </c>
      <c r="L156" s="46" t="s">
        <v>519</v>
      </c>
      <c r="M156" s="47" t="s">
        <v>220</v>
      </c>
      <c r="N156" s="47" t="s">
        <v>223</v>
      </c>
      <c r="O156" s="47" t="s">
        <v>240</v>
      </c>
      <c r="P156" s="7"/>
      <c r="Q156" s="345">
        <f t="shared" si="6"/>
        <v>0</v>
      </c>
      <c r="R156" s="124">
        <f t="shared" si="6"/>
        <v>0</v>
      </c>
      <c r="T156" s="230"/>
    </row>
    <row r="157" spans="1:20" ht="47.25" hidden="1">
      <c r="A157" s="50"/>
      <c r="B157" s="49"/>
      <c r="C157" s="54"/>
      <c r="D157" s="52"/>
      <c r="E157" s="55"/>
      <c r="F157" s="55"/>
      <c r="G157" s="56"/>
      <c r="H157" s="8" t="s">
        <v>377</v>
      </c>
      <c r="I157" s="3">
        <v>668</v>
      </c>
      <c r="J157" s="12">
        <v>3</v>
      </c>
      <c r="K157" s="12">
        <v>14</v>
      </c>
      <c r="L157" s="46" t="s">
        <v>519</v>
      </c>
      <c r="M157" s="47" t="s">
        <v>220</v>
      </c>
      <c r="N157" s="47" t="s">
        <v>223</v>
      </c>
      <c r="O157" s="47" t="s">
        <v>321</v>
      </c>
      <c r="P157" s="7"/>
      <c r="Q157" s="345">
        <f t="shared" si="6"/>
        <v>0</v>
      </c>
      <c r="R157" s="124">
        <f t="shared" si="6"/>
        <v>0</v>
      </c>
      <c r="T157" s="230"/>
    </row>
    <row r="158" spans="1:20" ht="18.75" hidden="1">
      <c r="A158" s="50"/>
      <c r="B158" s="49"/>
      <c r="C158" s="54"/>
      <c r="D158" s="52"/>
      <c r="E158" s="55"/>
      <c r="F158" s="55"/>
      <c r="G158" s="56"/>
      <c r="H158" s="2" t="s">
        <v>277</v>
      </c>
      <c r="I158" s="3">
        <v>668</v>
      </c>
      <c r="J158" s="12">
        <v>3</v>
      </c>
      <c r="K158" s="12">
        <v>14</v>
      </c>
      <c r="L158" s="46" t="s">
        <v>519</v>
      </c>
      <c r="M158" s="47" t="s">
        <v>220</v>
      </c>
      <c r="N158" s="47" t="s">
        <v>223</v>
      </c>
      <c r="O158" s="47" t="s">
        <v>321</v>
      </c>
      <c r="P158" s="7">
        <v>240</v>
      </c>
      <c r="Q158" s="345">
        <f>50-50</f>
        <v>0</v>
      </c>
      <c r="R158" s="124"/>
      <c r="T158" s="230"/>
    </row>
    <row r="159" spans="1:20" ht="31.5">
      <c r="A159" s="50"/>
      <c r="B159" s="49"/>
      <c r="C159" s="54"/>
      <c r="D159" s="52"/>
      <c r="E159" s="55"/>
      <c r="F159" s="55"/>
      <c r="G159" s="56"/>
      <c r="H159" s="8" t="s">
        <v>374</v>
      </c>
      <c r="I159" s="3">
        <v>668</v>
      </c>
      <c r="J159" s="12">
        <v>3</v>
      </c>
      <c r="K159" s="12">
        <v>14</v>
      </c>
      <c r="L159" s="46" t="s">
        <v>519</v>
      </c>
      <c r="M159" s="47" t="s">
        <v>1009</v>
      </c>
      <c r="N159" s="47" t="s">
        <v>231</v>
      </c>
      <c r="O159" s="47" t="s">
        <v>240</v>
      </c>
      <c r="P159" s="7"/>
      <c r="Q159" s="124">
        <f>Q160+Q163</f>
        <v>15</v>
      </c>
      <c r="R159" s="124">
        <f>R160+R163</f>
        <v>15</v>
      </c>
      <c r="T159" s="230"/>
    </row>
    <row r="160" spans="1:20" ht="31.5" hidden="1">
      <c r="A160" s="50"/>
      <c r="B160" s="49"/>
      <c r="C160" s="54"/>
      <c r="D160" s="52"/>
      <c r="E160" s="55"/>
      <c r="F160" s="55"/>
      <c r="G160" s="56"/>
      <c r="H160" s="1" t="s">
        <v>373</v>
      </c>
      <c r="I160" s="3">
        <v>668</v>
      </c>
      <c r="J160" s="12">
        <v>3</v>
      </c>
      <c r="K160" s="12">
        <v>14</v>
      </c>
      <c r="L160" s="46" t="s">
        <v>519</v>
      </c>
      <c r="M160" s="47" t="s">
        <v>347</v>
      </c>
      <c r="N160" s="47" t="s">
        <v>223</v>
      </c>
      <c r="O160" s="47" t="s">
        <v>240</v>
      </c>
      <c r="P160" s="7"/>
      <c r="Q160" s="345">
        <f>Q161</f>
        <v>0</v>
      </c>
      <c r="R160" s="124">
        <f>R161</f>
        <v>0</v>
      </c>
      <c r="T160" s="230"/>
    </row>
    <row r="161" spans="1:20" ht="18.75" hidden="1">
      <c r="A161" s="50"/>
      <c r="B161" s="49"/>
      <c r="C161" s="54"/>
      <c r="D161" s="52"/>
      <c r="E161" s="55"/>
      <c r="F161" s="55"/>
      <c r="G161" s="56"/>
      <c r="H161" s="8" t="s">
        <v>372</v>
      </c>
      <c r="I161" s="3">
        <v>668</v>
      </c>
      <c r="J161" s="12">
        <v>3</v>
      </c>
      <c r="K161" s="12">
        <v>14</v>
      </c>
      <c r="L161" s="46" t="s">
        <v>519</v>
      </c>
      <c r="M161" s="47" t="s">
        <v>347</v>
      </c>
      <c r="N161" s="47" t="s">
        <v>223</v>
      </c>
      <c r="O161" s="47" t="s">
        <v>419</v>
      </c>
      <c r="P161" s="7"/>
      <c r="Q161" s="345">
        <f>Q162</f>
        <v>0</v>
      </c>
      <c r="R161" s="124">
        <f>R162</f>
        <v>0</v>
      </c>
      <c r="T161" s="230"/>
    </row>
    <row r="162" spans="1:20" ht="18.75" hidden="1">
      <c r="A162" s="50"/>
      <c r="B162" s="49"/>
      <c r="C162" s="54"/>
      <c r="D162" s="52"/>
      <c r="E162" s="55"/>
      <c r="F162" s="55"/>
      <c r="G162" s="56"/>
      <c r="H162" s="2" t="s">
        <v>277</v>
      </c>
      <c r="I162" s="3">
        <v>668</v>
      </c>
      <c r="J162" s="12">
        <v>3</v>
      </c>
      <c r="K162" s="12">
        <v>14</v>
      </c>
      <c r="L162" s="46" t="s">
        <v>519</v>
      </c>
      <c r="M162" s="47" t="s">
        <v>347</v>
      </c>
      <c r="N162" s="47" t="s">
        <v>223</v>
      </c>
      <c r="O162" s="47" t="s">
        <v>419</v>
      </c>
      <c r="P162" s="7">
        <v>240</v>
      </c>
      <c r="Q162" s="345">
        <f>10-10</f>
        <v>0</v>
      </c>
      <c r="R162" s="124"/>
      <c r="T162" s="230"/>
    </row>
    <row r="163" spans="1:20" ht="31.5">
      <c r="A163" s="50"/>
      <c r="B163" s="49"/>
      <c r="C163" s="54"/>
      <c r="D163" s="52"/>
      <c r="E163" s="55"/>
      <c r="F163" s="55"/>
      <c r="G163" s="56"/>
      <c r="H163" s="1" t="s">
        <v>533</v>
      </c>
      <c r="I163" s="3">
        <v>668</v>
      </c>
      <c r="J163" s="12">
        <v>3</v>
      </c>
      <c r="K163" s="12">
        <v>14</v>
      </c>
      <c r="L163" s="46" t="s">
        <v>519</v>
      </c>
      <c r="M163" s="47" t="s">
        <v>347</v>
      </c>
      <c r="N163" s="47" t="s">
        <v>233</v>
      </c>
      <c r="O163" s="47" t="s">
        <v>240</v>
      </c>
      <c r="P163" s="7"/>
      <c r="Q163" s="124">
        <f>Q164</f>
        <v>15</v>
      </c>
      <c r="R163" s="124">
        <f>R164</f>
        <v>15</v>
      </c>
      <c r="T163" s="230"/>
    </row>
    <row r="164" spans="1:20" ht="18.75">
      <c r="A164" s="50"/>
      <c r="B164" s="49"/>
      <c r="C164" s="54"/>
      <c r="D164" s="52"/>
      <c r="E164" s="55"/>
      <c r="F164" s="55"/>
      <c r="G164" s="56"/>
      <c r="H164" s="8" t="s">
        <v>534</v>
      </c>
      <c r="I164" s="3">
        <v>668</v>
      </c>
      <c r="J164" s="12">
        <v>3</v>
      </c>
      <c r="K164" s="12">
        <v>14</v>
      </c>
      <c r="L164" s="46" t="s">
        <v>519</v>
      </c>
      <c r="M164" s="47" t="s">
        <v>347</v>
      </c>
      <c r="N164" s="47" t="s">
        <v>233</v>
      </c>
      <c r="O164" s="47" t="s">
        <v>419</v>
      </c>
      <c r="P164" s="7"/>
      <c r="Q164" s="124">
        <f>Q165</f>
        <v>15</v>
      </c>
      <c r="R164" s="124">
        <f>R165</f>
        <v>15</v>
      </c>
      <c r="T164" s="230"/>
    </row>
    <row r="165" spans="1:20" s="111" customFormat="1" ht="18.75">
      <c r="A165" s="81"/>
      <c r="B165" s="82"/>
      <c r="C165" s="92"/>
      <c r="D165" s="89"/>
      <c r="E165" s="84"/>
      <c r="F165" s="84"/>
      <c r="G165" s="94">
        <v>850</v>
      </c>
      <c r="H165" s="2" t="s">
        <v>277</v>
      </c>
      <c r="I165" s="3">
        <v>668</v>
      </c>
      <c r="J165" s="12">
        <v>3</v>
      </c>
      <c r="K165" s="12">
        <v>14</v>
      </c>
      <c r="L165" s="46" t="s">
        <v>519</v>
      </c>
      <c r="M165" s="47" t="s">
        <v>347</v>
      </c>
      <c r="N165" s="47" t="s">
        <v>233</v>
      </c>
      <c r="O165" s="47" t="s">
        <v>419</v>
      </c>
      <c r="P165" s="7">
        <v>240</v>
      </c>
      <c r="Q165" s="124">
        <f>10+5</f>
        <v>15</v>
      </c>
      <c r="R165" s="124">
        <v>15</v>
      </c>
      <c r="S165" s="283"/>
      <c r="T165" s="230"/>
    </row>
    <row r="166" spans="1:20" ht="19.5">
      <c r="A166" s="50"/>
      <c r="B166" s="49"/>
      <c r="C166" s="48"/>
      <c r="D166" s="52"/>
      <c r="E166" s="66"/>
      <c r="F166" s="66"/>
      <c r="G166" s="40"/>
      <c r="H166" s="231" t="s">
        <v>535</v>
      </c>
      <c r="I166" s="85">
        <v>668</v>
      </c>
      <c r="J166" s="78">
        <v>4</v>
      </c>
      <c r="K166" s="78" t="s">
        <v>241</v>
      </c>
      <c r="L166" s="79"/>
      <c r="M166" s="80"/>
      <c r="N166" s="80"/>
      <c r="O166" s="80"/>
      <c r="P166" s="77"/>
      <c r="Q166" s="123">
        <f>Q167+Q174+Q192</f>
        <v>34969.3</v>
      </c>
      <c r="R166" s="123">
        <f>R167+R174+R192</f>
        <v>32332.300000000003</v>
      </c>
      <c r="T166" s="230"/>
    </row>
    <row r="167" spans="1:20" ht="19.5">
      <c r="A167" s="50"/>
      <c r="B167" s="49"/>
      <c r="C167" s="48"/>
      <c r="D167" s="52"/>
      <c r="E167" s="66"/>
      <c r="F167" s="66"/>
      <c r="G167" s="40"/>
      <c r="H167" s="88" t="s">
        <v>72</v>
      </c>
      <c r="I167" s="85">
        <v>668</v>
      </c>
      <c r="J167" s="78">
        <v>4</v>
      </c>
      <c r="K167" s="78">
        <v>8</v>
      </c>
      <c r="L167" s="79"/>
      <c r="M167" s="80"/>
      <c r="N167" s="80"/>
      <c r="O167" s="80"/>
      <c r="P167" s="77"/>
      <c r="Q167" s="123">
        <f>Q168</f>
        <v>11551.4</v>
      </c>
      <c r="R167" s="123">
        <f>R168</f>
        <v>10317.4</v>
      </c>
      <c r="T167" s="230"/>
    </row>
    <row r="168" spans="1:20" ht="31.5">
      <c r="A168" s="50"/>
      <c r="B168" s="49"/>
      <c r="C168" s="48"/>
      <c r="D168" s="52"/>
      <c r="E168" s="66"/>
      <c r="F168" s="66"/>
      <c r="G168" s="40"/>
      <c r="H168" s="8" t="s">
        <v>509</v>
      </c>
      <c r="I168" s="3">
        <v>668</v>
      </c>
      <c r="J168" s="12">
        <v>4</v>
      </c>
      <c r="K168" s="12">
        <v>8</v>
      </c>
      <c r="L168" s="46" t="s">
        <v>510</v>
      </c>
      <c r="M168" s="47" t="s">
        <v>222</v>
      </c>
      <c r="N168" s="47" t="s">
        <v>231</v>
      </c>
      <c r="O168" s="47" t="s">
        <v>240</v>
      </c>
      <c r="P168" s="7"/>
      <c r="Q168" s="124">
        <f>Q169</f>
        <v>11551.4</v>
      </c>
      <c r="R168" s="124">
        <f>R169</f>
        <v>10317.4</v>
      </c>
      <c r="T168" s="230"/>
    </row>
    <row r="169" spans="1:20" ht="31.5">
      <c r="A169" s="50"/>
      <c r="B169" s="49"/>
      <c r="C169" s="48"/>
      <c r="D169" s="52"/>
      <c r="E169" s="66"/>
      <c r="F169" s="66"/>
      <c r="G169" s="40"/>
      <c r="H169" s="8" t="s">
        <v>513</v>
      </c>
      <c r="I169" s="3">
        <v>668</v>
      </c>
      <c r="J169" s="12">
        <v>4</v>
      </c>
      <c r="K169" s="12">
        <v>8</v>
      </c>
      <c r="L169" s="46" t="s">
        <v>510</v>
      </c>
      <c r="M169" s="47" t="s">
        <v>222</v>
      </c>
      <c r="N169" s="47" t="s">
        <v>225</v>
      </c>
      <c r="O169" s="47" t="s">
        <v>240</v>
      </c>
      <c r="P169" s="7"/>
      <c r="Q169" s="124">
        <f>Q170+Q172</f>
        <v>11551.4</v>
      </c>
      <c r="R169" s="124">
        <f>R170+R172</f>
        <v>10317.4</v>
      </c>
      <c r="T169" s="230"/>
    </row>
    <row r="170" spans="1:20" ht="31.5">
      <c r="A170" s="50"/>
      <c r="B170" s="49"/>
      <c r="C170" s="48"/>
      <c r="D170" s="52"/>
      <c r="E170" s="66"/>
      <c r="F170" s="66"/>
      <c r="G170" s="40"/>
      <c r="H170" s="8" t="s">
        <v>436</v>
      </c>
      <c r="I170" s="3">
        <v>668</v>
      </c>
      <c r="J170" s="12">
        <v>4</v>
      </c>
      <c r="K170" s="12">
        <v>8</v>
      </c>
      <c r="L170" s="46" t="s">
        <v>510</v>
      </c>
      <c r="M170" s="47" t="s">
        <v>222</v>
      </c>
      <c r="N170" s="47" t="s">
        <v>225</v>
      </c>
      <c r="O170" s="47" t="s">
        <v>435</v>
      </c>
      <c r="P170" s="7"/>
      <c r="Q170" s="124">
        <f>Q171</f>
        <v>2911.4</v>
      </c>
      <c r="R170" s="124">
        <f>R171</f>
        <v>2911.4</v>
      </c>
      <c r="T170" s="230"/>
    </row>
    <row r="171" spans="1:20" ht="18.75">
      <c r="A171" s="50"/>
      <c r="B171" s="49"/>
      <c r="C171" s="48"/>
      <c r="D171" s="52"/>
      <c r="E171" s="66"/>
      <c r="F171" s="66"/>
      <c r="G171" s="40"/>
      <c r="H171" s="2" t="s">
        <v>277</v>
      </c>
      <c r="I171" s="3">
        <v>668</v>
      </c>
      <c r="J171" s="12">
        <v>4</v>
      </c>
      <c r="K171" s="12">
        <v>8</v>
      </c>
      <c r="L171" s="46" t="s">
        <v>510</v>
      </c>
      <c r="M171" s="47" t="s">
        <v>222</v>
      </c>
      <c r="N171" s="47" t="s">
        <v>225</v>
      </c>
      <c r="O171" s="47" t="s">
        <v>435</v>
      </c>
      <c r="P171" s="7">
        <v>240</v>
      </c>
      <c r="Q171" s="124">
        <f>2761.5+149.9</f>
        <v>2911.4</v>
      </c>
      <c r="R171" s="124">
        <v>2911.4</v>
      </c>
      <c r="T171" s="230"/>
    </row>
    <row r="172" spans="1:20" ht="31.5">
      <c r="A172" s="50"/>
      <c r="B172" s="49"/>
      <c r="C172" s="48"/>
      <c r="D172" s="52"/>
      <c r="E172" s="66"/>
      <c r="F172" s="66"/>
      <c r="G172" s="40"/>
      <c r="H172" s="2" t="s">
        <v>536</v>
      </c>
      <c r="I172" s="3">
        <v>668</v>
      </c>
      <c r="J172" s="12">
        <v>4</v>
      </c>
      <c r="K172" s="12">
        <v>8</v>
      </c>
      <c r="L172" s="46" t="s">
        <v>510</v>
      </c>
      <c r="M172" s="47" t="s">
        <v>222</v>
      </c>
      <c r="N172" s="47" t="s">
        <v>225</v>
      </c>
      <c r="O172" s="47" t="s">
        <v>537</v>
      </c>
      <c r="P172" s="7"/>
      <c r="Q172" s="124">
        <f>Q173</f>
        <v>8640</v>
      </c>
      <c r="R172" s="124">
        <f>R173</f>
        <v>7406</v>
      </c>
      <c r="T172" s="230"/>
    </row>
    <row r="173" spans="1:20" ht="18.75">
      <c r="A173" s="50"/>
      <c r="B173" s="49"/>
      <c r="C173" s="48"/>
      <c r="D173" s="52"/>
      <c r="E173" s="66"/>
      <c r="F173" s="66"/>
      <c r="G173" s="40"/>
      <c r="H173" s="2" t="s">
        <v>277</v>
      </c>
      <c r="I173" s="3">
        <v>668</v>
      </c>
      <c r="J173" s="12">
        <v>4</v>
      </c>
      <c r="K173" s="12">
        <v>8</v>
      </c>
      <c r="L173" s="46" t="s">
        <v>510</v>
      </c>
      <c r="M173" s="47" t="s">
        <v>222</v>
      </c>
      <c r="N173" s="47" t="s">
        <v>225</v>
      </c>
      <c r="O173" s="47" t="s">
        <v>537</v>
      </c>
      <c r="P173" s="7">
        <v>240</v>
      </c>
      <c r="Q173" s="124">
        <f>12212-3572</f>
        <v>8640</v>
      </c>
      <c r="R173" s="124">
        <v>7406</v>
      </c>
      <c r="T173" s="230"/>
    </row>
    <row r="174" spans="1:20" ht="19.5">
      <c r="A174" s="50"/>
      <c r="B174" s="49"/>
      <c r="C174" s="48"/>
      <c r="D174" s="52"/>
      <c r="E174" s="66"/>
      <c r="F174" s="66"/>
      <c r="G174" s="40"/>
      <c r="H174" s="231" t="s">
        <v>62</v>
      </c>
      <c r="I174" s="85">
        <v>668</v>
      </c>
      <c r="J174" s="78">
        <v>4</v>
      </c>
      <c r="K174" s="78">
        <v>9</v>
      </c>
      <c r="L174" s="79"/>
      <c r="M174" s="80"/>
      <c r="N174" s="80"/>
      <c r="O174" s="80"/>
      <c r="P174" s="77"/>
      <c r="Q174" s="123">
        <f>Q175</f>
        <v>14884.800000000001</v>
      </c>
      <c r="R174" s="123">
        <f>R175</f>
        <v>13481.800000000001</v>
      </c>
      <c r="T174" s="230"/>
    </row>
    <row r="175" spans="1:20" ht="31.5">
      <c r="A175" s="50"/>
      <c r="B175" s="49"/>
      <c r="C175" s="48"/>
      <c r="D175" s="52"/>
      <c r="E175" s="66"/>
      <c r="F175" s="66"/>
      <c r="G175" s="40"/>
      <c r="H175" s="8" t="s">
        <v>538</v>
      </c>
      <c r="I175" s="3">
        <v>668</v>
      </c>
      <c r="J175" s="12">
        <v>4</v>
      </c>
      <c r="K175" s="12">
        <v>9</v>
      </c>
      <c r="L175" s="46" t="s">
        <v>539</v>
      </c>
      <c r="M175" s="47" t="s">
        <v>222</v>
      </c>
      <c r="N175" s="47" t="s">
        <v>231</v>
      </c>
      <c r="O175" s="47" t="s">
        <v>240</v>
      </c>
      <c r="P175" s="7"/>
      <c r="Q175" s="124">
        <f>Q176+Q181+Q186+Q189</f>
        <v>14884.800000000001</v>
      </c>
      <c r="R175" s="124">
        <f>R176+R181+R186+R189</f>
        <v>13481.800000000001</v>
      </c>
      <c r="T175" s="230"/>
    </row>
    <row r="176" spans="1:20" ht="18.75">
      <c r="A176" s="50"/>
      <c r="B176" s="49"/>
      <c r="C176" s="48"/>
      <c r="D176" s="52"/>
      <c r="E176" s="66"/>
      <c r="F176" s="66"/>
      <c r="G176" s="40"/>
      <c r="H176" s="8" t="s">
        <v>253</v>
      </c>
      <c r="I176" s="3">
        <v>668</v>
      </c>
      <c r="J176" s="12">
        <v>4</v>
      </c>
      <c r="K176" s="12">
        <v>9</v>
      </c>
      <c r="L176" s="46" t="s">
        <v>539</v>
      </c>
      <c r="M176" s="47" t="s">
        <v>222</v>
      </c>
      <c r="N176" s="47" t="s">
        <v>223</v>
      </c>
      <c r="O176" s="47" t="s">
        <v>240</v>
      </c>
      <c r="P176" s="7"/>
      <c r="Q176" s="124">
        <f>Q177+Q179</f>
        <v>3788.2000000000003</v>
      </c>
      <c r="R176" s="124">
        <f>R177+R179</f>
        <v>3788.2</v>
      </c>
      <c r="T176" s="230"/>
    </row>
    <row r="177" spans="1:20" ht="18.75" hidden="1">
      <c r="A177" s="50"/>
      <c r="B177" s="49"/>
      <c r="C177" s="48"/>
      <c r="D177" s="52"/>
      <c r="E177" s="66"/>
      <c r="F177" s="66"/>
      <c r="G177" s="40"/>
      <c r="H177" s="8" t="s">
        <v>540</v>
      </c>
      <c r="I177" s="3">
        <v>668</v>
      </c>
      <c r="J177" s="12">
        <v>4</v>
      </c>
      <c r="K177" s="12">
        <v>9</v>
      </c>
      <c r="L177" s="46" t="s">
        <v>539</v>
      </c>
      <c r="M177" s="47" t="s">
        <v>222</v>
      </c>
      <c r="N177" s="47" t="s">
        <v>223</v>
      </c>
      <c r="O177" s="47" t="s">
        <v>298</v>
      </c>
      <c r="P177" s="7"/>
      <c r="Q177" s="345">
        <f>Q178</f>
        <v>0</v>
      </c>
      <c r="R177" s="124">
        <f>R178</f>
        <v>0</v>
      </c>
      <c r="T177" s="230"/>
    </row>
    <row r="178" spans="1:20" ht="18.75" hidden="1">
      <c r="A178" s="50"/>
      <c r="B178" s="49"/>
      <c r="C178" s="48"/>
      <c r="D178" s="52"/>
      <c r="E178" s="66"/>
      <c r="F178" s="66"/>
      <c r="G178" s="40"/>
      <c r="H178" s="2" t="s">
        <v>277</v>
      </c>
      <c r="I178" s="3">
        <v>668</v>
      </c>
      <c r="J178" s="12">
        <v>4</v>
      </c>
      <c r="K178" s="12">
        <v>9</v>
      </c>
      <c r="L178" s="46" t="s">
        <v>539</v>
      </c>
      <c r="M178" s="47" t="s">
        <v>222</v>
      </c>
      <c r="N178" s="47" t="s">
        <v>223</v>
      </c>
      <c r="O178" s="47" t="s">
        <v>298</v>
      </c>
      <c r="P178" s="7">
        <v>240</v>
      </c>
      <c r="Q178" s="345">
        <f>1100-1100</f>
        <v>0</v>
      </c>
      <c r="R178" s="124"/>
      <c r="T178" s="230"/>
    </row>
    <row r="179" spans="1:20" ht="31.5">
      <c r="A179" s="50"/>
      <c r="B179" s="49"/>
      <c r="C179" s="48"/>
      <c r="D179" s="52"/>
      <c r="E179" s="66"/>
      <c r="F179" s="66"/>
      <c r="G179" s="40"/>
      <c r="H179" s="8" t="s">
        <v>291</v>
      </c>
      <c r="I179" s="3">
        <v>668</v>
      </c>
      <c r="J179" s="12">
        <v>4</v>
      </c>
      <c r="K179" s="12">
        <v>9</v>
      </c>
      <c r="L179" s="46" t="s">
        <v>539</v>
      </c>
      <c r="M179" s="47" t="s">
        <v>222</v>
      </c>
      <c r="N179" s="47" t="s">
        <v>223</v>
      </c>
      <c r="O179" s="47" t="s">
        <v>70</v>
      </c>
      <c r="P179" s="7"/>
      <c r="Q179" s="124">
        <f>Q180</f>
        <v>3788.2000000000003</v>
      </c>
      <c r="R179" s="124">
        <f>R180</f>
        <v>3788.2</v>
      </c>
      <c r="T179" s="230"/>
    </row>
    <row r="180" spans="1:20" ht="18.75">
      <c r="A180" s="50"/>
      <c r="B180" s="49"/>
      <c r="C180" s="48"/>
      <c r="D180" s="52"/>
      <c r="E180" s="66"/>
      <c r="F180" s="66"/>
      <c r="G180" s="40"/>
      <c r="H180" s="2" t="s">
        <v>277</v>
      </c>
      <c r="I180" s="3">
        <v>668</v>
      </c>
      <c r="J180" s="12">
        <v>4</v>
      </c>
      <c r="K180" s="12">
        <v>9</v>
      </c>
      <c r="L180" s="46" t="s">
        <v>539</v>
      </c>
      <c r="M180" s="47" t="s">
        <v>222</v>
      </c>
      <c r="N180" s="47" t="s">
        <v>223</v>
      </c>
      <c r="O180" s="47" t="s">
        <v>70</v>
      </c>
      <c r="P180" s="7">
        <v>240</v>
      </c>
      <c r="Q180" s="124">
        <f>5450.6-6-1656.4</f>
        <v>3788.2000000000003</v>
      </c>
      <c r="R180" s="124">
        <v>3788.2</v>
      </c>
      <c r="T180" s="230"/>
    </row>
    <row r="181" spans="1:20" ht="18.75">
      <c r="A181" s="50"/>
      <c r="B181" s="49"/>
      <c r="C181" s="48"/>
      <c r="D181" s="52"/>
      <c r="E181" s="66"/>
      <c r="F181" s="66"/>
      <c r="G181" s="40"/>
      <c r="H181" s="8" t="s">
        <v>314</v>
      </c>
      <c r="I181" s="3">
        <v>668</v>
      </c>
      <c r="J181" s="12">
        <v>4</v>
      </c>
      <c r="K181" s="12">
        <v>9</v>
      </c>
      <c r="L181" s="46" t="s">
        <v>539</v>
      </c>
      <c r="M181" s="47" t="s">
        <v>222</v>
      </c>
      <c r="N181" s="47" t="s">
        <v>235</v>
      </c>
      <c r="O181" s="47" t="s">
        <v>240</v>
      </c>
      <c r="P181" s="7"/>
      <c r="Q181" s="124">
        <f>Q182+Q184</f>
        <v>11002.6</v>
      </c>
      <c r="R181" s="124">
        <f>R182+R184</f>
        <v>9606.2</v>
      </c>
      <c r="T181" s="230"/>
    </row>
    <row r="182" spans="1:20" ht="18.75">
      <c r="A182" s="50"/>
      <c r="B182" s="49"/>
      <c r="C182" s="48"/>
      <c r="D182" s="52"/>
      <c r="E182" s="66"/>
      <c r="F182" s="66"/>
      <c r="G182" s="40"/>
      <c r="H182" s="8" t="s">
        <v>299</v>
      </c>
      <c r="I182" s="3">
        <v>668</v>
      </c>
      <c r="J182" s="12">
        <v>4</v>
      </c>
      <c r="K182" s="12">
        <v>9</v>
      </c>
      <c r="L182" s="46" t="s">
        <v>539</v>
      </c>
      <c r="M182" s="47" t="s">
        <v>222</v>
      </c>
      <c r="N182" s="47" t="s">
        <v>235</v>
      </c>
      <c r="O182" s="47" t="s">
        <v>298</v>
      </c>
      <c r="P182" s="7"/>
      <c r="Q182" s="124">
        <f>Q183</f>
        <v>9340.2</v>
      </c>
      <c r="R182" s="124">
        <f>R183</f>
        <v>7952.2</v>
      </c>
      <c r="T182" s="230"/>
    </row>
    <row r="183" spans="1:20" ht="18.75">
      <c r="A183" s="50"/>
      <c r="B183" s="49"/>
      <c r="C183" s="48"/>
      <c r="D183" s="52"/>
      <c r="E183" s="66"/>
      <c r="F183" s="66"/>
      <c r="G183" s="40"/>
      <c r="H183" s="2" t="s">
        <v>277</v>
      </c>
      <c r="I183" s="3">
        <v>668</v>
      </c>
      <c r="J183" s="12">
        <v>4</v>
      </c>
      <c r="K183" s="12">
        <v>9</v>
      </c>
      <c r="L183" s="46" t="s">
        <v>539</v>
      </c>
      <c r="M183" s="47" t="s">
        <v>222</v>
      </c>
      <c r="N183" s="47" t="s">
        <v>235</v>
      </c>
      <c r="O183" s="47" t="s">
        <v>298</v>
      </c>
      <c r="P183" s="7">
        <v>240</v>
      </c>
      <c r="Q183" s="124">
        <f>6783.2+1801+250+500+6-26+26</f>
        <v>9340.2</v>
      </c>
      <c r="R183" s="124">
        <v>7952.2</v>
      </c>
      <c r="T183" s="230"/>
    </row>
    <row r="184" spans="1:20" ht="31.5">
      <c r="A184" s="50"/>
      <c r="B184" s="49"/>
      <c r="C184" s="48"/>
      <c r="D184" s="52"/>
      <c r="E184" s="66"/>
      <c r="F184" s="66"/>
      <c r="G184" s="40"/>
      <c r="H184" s="8" t="s">
        <v>291</v>
      </c>
      <c r="I184" s="3">
        <v>668</v>
      </c>
      <c r="J184" s="12">
        <v>4</v>
      </c>
      <c r="K184" s="12">
        <v>9</v>
      </c>
      <c r="L184" s="46" t="s">
        <v>539</v>
      </c>
      <c r="M184" s="47" t="s">
        <v>222</v>
      </c>
      <c r="N184" s="47" t="s">
        <v>235</v>
      </c>
      <c r="O184" s="47" t="s">
        <v>70</v>
      </c>
      <c r="P184" s="7"/>
      <c r="Q184" s="124">
        <f>Q185</f>
        <v>1662.4</v>
      </c>
      <c r="R184" s="124">
        <f>R185</f>
        <v>1654</v>
      </c>
      <c r="T184" s="230"/>
    </row>
    <row r="185" spans="1:20" ht="18.75">
      <c r="A185" s="50"/>
      <c r="B185" s="49"/>
      <c r="C185" s="48"/>
      <c r="D185" s="52"/>
      <c r="E185" s="66"/>
      <c r="F185" s="66"/>
      <c r="G185" s="40"/>
      <c r="H185" s="2" t="s">
        <v>277</v>
      </c>
      <c r="I185" s="3">
        <v>668</v>
      </c>
      <c r="J185" s="12">
        <v>4</v>
      </c>
      <c r="K185" s="12">
        <v>9</v>
      </c>
      <c r="L185" s="46" t="s">
        <v>539</v>
      </c>
      <c r="M185" s="47" t="s">
        <v>222</v>
      </c>
      <c r="N185" s="47" t="s">
        <v>235</v>
      </c>
      <c r="O185" s="47" t="s">
        <v>70</v>
      </c>
      <c r="P185" s="7">
        <v>240</v>
      </c>
      <c r="Q185" s="124">
        <v>1662.4</v>
      </c>
      <c r="R185" s="124">
        <v>1654</v>
      </c>
      <c r="T185" s="230"/>
    </row>
    <row r="186" spans="1:20" ht="31.5" hidden="1">
      <c r="A186" s="50"/>
      <c r="B186" s="49"/>
      <c r="C186" s="48"/>
      <c r="D186" s="52"/>
      <c r="E186" s="66"/>
      <c r="F186" s="66"/>
      <c r="G186" s="40"/>
      <c r="H186" s="8" t="s">
        <v>460</v>
      </c>
      <c r="I186" s="3">
        <v>668</v>
      </c>
      <c r="J186" s="12">
        <v>4</v>
      </c>
      <c r="K186" s="12">
        <v>9</v>
      </c>
      <c r="L186" s="46" t="s">
        <v>539</v>
      </c>
      <c r="M186" s="47" t="s">
        <v>222</v>
      </c>
      <c r="N186" s="47" t="s">
        <v>233</v>
      </c>
      <c r="O186" s="47" t="s">
        <v>240</v>
      </c>
      <c r="P186" s="7"/>
      <c r="Q186" s="345">
        <f>Q187</f>
        <v>0</v>
      </c>
      <c r="R186" s="124">
        <f>R187</f>
        <v>0</v>
      </c>
      <c r="T186" s="230"/>
    </row>
    <row r="187" spans="1:20" ht="31.5" hidden="1">
      <c r="A187" s="50"/>
      <c r="B187" s="49"/>
      <c r="C187" s="48"/>
      <c r="D187" s="52"/>
      <c r="E187" s="66"/>
      <c r="F187" s="66"/>
      <c r="G187" s="40"/>
      <c r="H187" s="8" t="s">
        <v>17</v>
      </c>
      <c r="I187" s="3">
        <v>668</v>
      </c>
      <c r="J187" s="12">
        <v>4</v>
      </c>
      <c r="K187" s="12">
        <v>9</v>
      </c>
      <c r="L187" s="46" t="s">
        <v>539</v>
      </c>
      <c r="M187" s="47" t="s">
        <v>222</v>
      </c>
      <c r="N187" s="47" t="s">
        <v>233</v>
      </c>
      <c r="O187" s="47" t="s">
        <v>16</v>
      </c>
      <c r="P187" s="7"/>
      <c r="Q187" s="345">
        <f>Q188</f>
        <v>0</v>
      </c>
      <c r="R187" s="124">
        <f>R188</f>
        <v>0</v>
      </c>
      <c r="T187" s="230"/>
    </row>
    <row r="188" spans="1:20" ht="18.75" hidden="1">
      <c r="A188" s="50"/>
      <c r="B188" s="49"/>
      <c r="C188" s="48"/>
      <c r="D188" s="52"/>
      <c r="E188" s="66"/>
      <c r="F188" s="66"/>
      <c r="G188" s="40"/>
      <c r="H188" s="2" t="s">
        <v>277</v>
      </c>
      <c r="I188" s="3">
        <v>668</v>
      </c>
      <c r="J188" s="12">
        <v>4</v>
      </c>
      <c r="K188" s="12">
        <v>9</v>
      </c>
      <c r="L188" s="46" t="s">
        <v>539</v>
      </c>
      <c r="M188" s="47" t="s">
        <v>222</v>
      </c>
      <c r="N188" s="47" t="s">
        <v>233</v>
      </c>
      <c r="O188" s="47" t="s">
        <v>16</v>
      </c>
      <c r="P188" s="7">
        <v>240</v>
      </c>
      <c r="Q188" s="345">
        <f>866.6-8.4-858.2</f>
        <v>0</v>
      </c>
      <c r="R188" s="124"/>
      <c r="T188" s="230"/>
    </row>
    <row r="189" spans="1:20" ht="47.25">
      <c r="A189" s="50"/>
      <c r="B189" s="49"/>
      <c r="C189" s="48"/>
      <c r="D189" s="52"/>
      <c r="E189" s="66"/>
      <c r="F189" s="66"/>
      <c r="G189" s="40"/>
      <c r="H189" s="8" t="s">
        <v>461</v>
      </c>
      <c r="I189" s="3">
        <v>668</v>
      </c>
      <c r="J189" s="12">
        <v>4</v>
      </c>
      <c r="K189" s="12">
        <v>9</v>
      </c>
      <c r="L189" s="46" t="s">
        <v>539</v>
      </c>
      <c r="M189" s="47" t="s">
        <v>222</v>
      </c>
      <c r="N189" s="47" t="s">
        <v>225</v>
      </c>
      <c r="O189" s="47" t="s">
        <v>240</v>
      </c>
      <c r="P189" s="7"/>
      <c r="Q189" s="124">
        <f>Q190</f>
        <v>94</v>
      </c>
      <c r="R189" s="124">
        <f>R190</f>
        <v>87.4</v>
      </c>
      <c r="T189" s="230"/>
    </row>
    <row r="190" spans="1:20" ht="18.75">
      <c r="A190" s="50"/>
      <c r="B190" s="49"/>
      <c r="C190" s="54"/>
      <c r="D190" s="52"/>
      <c r="E190" s="355">
        <v>4210200</v>
      </c>
      <c r="F190" s="355"/>
      <c r="G190" s="40">
        <v>521</v>
      </c>
      <c r="H190" s="8" t="s">
        <v>299</v>
      </c>
      <c r="I190" s="3">
        <v>668</v>
      </c>
      <c r="J190" s="12">
        <v>4</v>
      </c>
      <c r="K190" s="12">
        <v>9</v>
      </c>
      <c r="L190" s="46" t="s">
        <v>539</v>
      </c>
      <c r="M190" s="47" t="s">
        <v>222</v>
      </c>
      <c r="N190" s="47" t="s">
        <v>225</v>
      </c>
      <c r="O190" s="47" t="s">
        <v>298</v>
      </c>
      <c r="P190" s="7"/>
      <c r="Q190" s="124">
        <f>Q191</f>
        <v>94</v>
      </c>
      <c r="R190" s="124">
        <f>R191</f>
        <v>87.4</v>
      </c>
      <c r="T190" s="230"/>
    </row>
    <row r="191" spans="1:20" ht="18.75">
      <c r="A191" s="50"/>
      <c r="B191" s="49"/>
      <c r="C191" s="54"/>
      <c r="D191" s="60"/>
      <c r="E191" s="55"/>
      <c r="F191" s="55"/>
      <c r="G191" s="56">
        <v>521</v>
      </c>
      <c r="H191" s="2" t="s">
        <v>277</v>
      </c>
      <c r="I191" s="3">
        <v>668</v>
      </c>
      <c r="J191" s="12">
        <v>4</v>
      </c>
      <c r="K191" s="12">
        <v>9</v>
      </c>
      <c r="L191" s="46" t="s">
        <v>539</v>
      </c>
      <c r="M191" s="47" t="s">
        <v>222</v>
      </c>
      <c r="N191" s="47" t="s">
        <v>225</v>
      </c>
      <c r="O191" s="47" t="s">
        <v>298</v>
      </c>
      <c r="P191" s="7">
        <v>240</v>
      </c>
      <c r="Q191" s="124">
        <f>700-600-6</f>
        <v>94</v>
      </c>
      <c r="R191" s="124">
        <v>87.4</v>
      </c>
      <c r="T191" s="230"/>
    </row>
    <row r="192" spans="1:20" ht="19.5">
      <c r="A192" s="50"/>
      <c r="B192" s="49"/>
      <c r="C192" s="48"/>
      <c r="D192" s="60"/>
      <c r="E192" s="55"/>
      <c r="F192" s="55"/>
      <c r="G192" s="40"/>
      <c r="H192" s="169" t="s">
        <v>216</v>
      </c>
      <c r="I192" s="85">
        <v>668</v>
      </c>
      <c r="J192" s="78">
        <v>4</v>
      </c>
      <c r="K192" s="78">
        <v>12</v>
      </c>
      <c r="L192" s="79"/>
      <c r="M192" s="80"/>
      <c r="N192" s="80"/>
      <c r="O192" s="80"/>
      <c r="P192" s="77"/>
      <c r="Q192" s="123">
        <f>Q193+Q214</f>
        <v>8533.1</v>
      </c>
      <c r="R192" s="123">
        <f>R193+R214</f>
        <v>8533.1</v>
      </c>
      <c r="T192" s="230"/>
    </row>
    <row r="193" spans="1:20" ht="31.5">
      <c r="A193" s="50"/>
      <c r="B193" s="49"/>
      <c r="C193" s="48"/>
      <c r="D193" s="60"/>
      <c r="E193" s="55"/>
      <c r="F193" s="55"/>
      <c r="G193" s="40"/>
      <c r="H193" s="8" t="s">
        <v>541</v>
      </c>
      <c r="I193" s="3">
        <v>668</v>
      </c>
      <c r="J193" s="12">
        <v>4</v>
      </c>
      <c r="K193" s="12">
        <v>12</v>
      </c>
      <c r="L193" s="46" t="s">
        <v>225</v>
      </c>
      <c r="M193" s="47" t="s">
        <v>222</v>
      </c>
      <c r="N193" s="47" t="s">
        <v>231</v>
      </c>
      <c r="O193" s="47" t="s">
        <v>240</v>
      </c>
      <c r="P193" s="7"/>
      <c r="Q193" s="124">
        <f>Q194+Q197+Q200+Q203+Q206+Q211</f>
        <v>8136.9</v>
      </c>
      <c r="R193" s="124">
        <f>R194+R197+R200+R203+R206+R211</f>
        <v>8136.9</v>
      </c>
      <c r="T193" s="230"/>
    </row>
    <row r="194" spans="1:20" ht="31.5">
      <c r="A194" s="50"/>
      <c r="B194" s="49"/>
      <c r="C194" s="48"/>
      <c r="D194" s="52"/>
      <c r="E194" s="66"/>
      <c r="F194" s="66"/>
      <c r="G194" s="40"/>
      <c r="H194" s="8" t="s">
        <v>542</v>
      </c>
      <c r="I194" s="3">
        <v>668</v>
      </c>
      <c r="J194" s="12">
        <v>4</v>
      </c>
      <c r="K194" s="12">
        <v>12</v>
      </c>
      <c r="L194" s="46" t="s">
        <v>225</v>
      </c>
      <c r="M194" s="47" t="s">
        <v>222</v>
      </c>
      <c r="N194" s="47" t="s">
        <v>223</v>
      </c>
      <c r="O194" s="47" t="s">
        <v>240</v>
      </c>
      <c r="P194" s="7"/>
      <c r="Q194" s="124">
        <f>Q195</f>
        <v>35</v>
      </c>
      <c r="R194" s="124">
        <f>R195</f>
        <v>35</v>
      </c>
      <c r="T194" s="230"/>
    </row>
    <row r="195" spans="1:20" ht="18.75">
      <c r="A195" s="50"/>
      <c r="B195" s="49"/>
      <c r="C195" s="48"/>
      <c r="D195" s="52"/>
      <c r="E195" s="66"/>
      <c r="F195" s="66"/>
      <c r="G195" s="40"/>
      <c r="H195" s="8" t="s">
        <v>8</v>
      </c>
      <c r="I195" s="3">
        <v>668</v>
      </c>
      <c r="J195" s="12">
        <v>4</v>
      </c>
      <c r="K195" s="12">
        <v>12</v>
      </c>
      <c r="L195" s="46" t="s">
        <v>225</v>
      </c>
      <c r="M195" s="47" t="s">
        <v>222</v>
      </c>
      <c r="N195" s="47" t="s">
        <v>223</v>
      </c>
      <c r="O195" s="47" t="s">
        <v>9</v>
      </c>
      <c r="P195" s="7"/>
      <c r="Q195" s="124">
        <f>Q196</f>
        <v>35</v>
      </c>
      <c r="R195" s="124">
        <f>R196</f>
        <v>35</v>
      </c>
      <c r="T195" s="230"/>
    </row>
    <row r="196" spans="1:20" ht="18.75">
      <c r="A196" s="50"/>
      <c r="B196" s="49"/>
      <c r="C196" s="48"/>
      <c r="D196" s="52"/>
      <c r="E196" s="66"/>
      <c r="F196" s="66"/>
      <c r="G196" s="40"/>
      <c r="H196" s="8" t="s">
        <v>279</v>
      </c>
      <c r="I196" s="3">
        <v>668</v>
      </c>
      <c r="J196" s="12">
        <v>4</v>
      </c>
      <c r="K196" s="12">
        <v>12</v>
      </c>
      <c r="L196" s="46" t="s">
        <v>225</v>
      </c>
      <c r="M196" s="47" t="s">
        <v>222</v>
      </c>
      <c r="N196" s="47" t="s">
        <v>223</v>
      </c>
      <c r="O196" s="47" t="s">
        <v>9</v>
      </c>
      <c r="P196" s="7">
        <v>610</v>
      </c>
      <c r="Q196" s="124">
        <v>35</v>
      </c>
      <c r="R196" s="124">
        <v>35</v>
      </c>
      <c r="T196" s="230"/>
    </row>
    <row r="197" spans="1:20" ht="18.75">
      <c r="A197" s="50"/>
      <c r="B197" s="49"/>
      <c r="C197" s="48"/>
      <c r="D197" s="52"/>
      <c r="E197" s="66"/>
      <c r="F197" s="66"/>
      <c r="G197" s="40"/>
      <c r="H197" s="8" t="s">
        <v>398</v>
      </c>
      <c r="I197" s="3">
        <v>668</v>
      </c>
      <c r="J197" s="12">
        <v>4</v>
      </c>
      <c r="K197" s="12">
        <v>12</v>
      </c>
      <c r="L197" s="46" t="s">
        <v>225</v>
      </c>
      <c r="M197" s="47" t="s">
        <v>222</v>
      </c>
      <c r="N197" s="47" t="s">
        <v>234</v>
      </c>
      <c r="O197" s="47" t="s">
        <v>240</v>
      </c>
      <c r="P197" s="7"/>
      <c r="Q197" s="124">
        <f>Q198</f>
        <v>63.6</v>
      </c>
      <c r="R197" s="124">
        <f>R198</f>
        <v>63.6</v>
      </c>
      <c r="T197" s="230"/>
    </row>
    <row r="198" spans="1:20" ht="18.75">
      <c r="A198" s="50"/>
      <c r="B198" s="49"/>
      <c r="C198" s="48"/>
      <c r="D198" s="52"/>
      <c r="E198" s="66"/>
      <c r="F198" s="66"/>
      <c r="G198" s="40"/>
      <c r="H198" s="8" t="s">
        <v>8</v>
      </c>
      <c r="I198" s="3">
        <v>668</v>
      </c>
      <c r="J198" s="12">
        <v>4</v>
      </c>
      <c r="K198" s="12">
        <v>12</v>
      </c>
      <c r="L198" s="46" t="s">
        <v>225</v>
      </c>
      <c r="M198" s="47" t="s">
        <v>222</v>
      </c>
      <c r="N198" s="47" t="s">
        <v>234</v>
      </c>
      <c r="O198" s="47" t="s">
        <v>9</v>
      </c>
      <c r="P198" s="7"/>
      <c r="Q198" s="124">
        <f>Q199</f>
        <v>63.6</v>
      </c>
      <c r="R198" s="124">
        <f>R199</f>
        <v>63.6</v>
      </c>
      <c r="T198" s="230"/>
    </row>
    <row r="199" spans="1:20" ht="18.75">
      <c r="A199" s="50"/>
      <c r="B199" s="49"/>
      <c r="C199" s="48"/>
      <c r="D199" s="52"/>
      <c r="E199" s="66"/>
      <c r="F199" s="66"/>
      <c r="G199" s="40"/>
      <c r="H199" s="8" t="s">
        <v>279</v>
      </c>
      <c r="I199" s="3">
        <v>668</v>
      </c>
      <c r="J199" s="12">
        <v>4</v>
      </c>
      <c r="K199" s="12">
        <v>12</v>
      </c>
      <c r="L199" s="46" t="s">
        <v>225</v>
      </c>
      <c r="M199" s="47" t="s">
        <v>222</v>
      </c>
      <c r="N199" s="47" t="s">
        <v>234</v>
      </c>
      <c r="O199" s="47" t="s">
        <v>9</v>
      </c>
      <c r="P199" s="7">
        <v>610</v>
      </c>
      <c r="Q199" s="124">
        <f>75-11.4</f>
        <v>63.6</v>
      </c>
      <c r="R199" s="124">
        <v>63.6</v>
      </c>
      <c r="T199" s="230"/>
    </row>
    <row r="200" spans="1:20" s="111" customFormat="1" ht="18.75" hidden="1">
      <c r="A200" s="81"/>
      <c r="B200" s="82"/>
      <c r="C200" s="81"/>
      <c r="D200" s="89"/>
      <c r="E200" s="90"/>
      <c r="F200" s="90"/>
      <c r="G200" s="75"/>
      <c r="H200" s="8" t="s">
        <v>440</v>
      </c>
      <c r="I200" s="3">
        <v>668</v>
      </c>
      <c r="J200" s="12">
        <v>4</v>
      </c>
      <c r="K200" s="12">
        <v>12</v>
      </c>
      <c r="L200" s="46" t="s">
        <v>225</v>
      </c>
      <c r="M200" s="47" t="s">
        <v>222</v>
      </c>
      <c r="N200" s="47" t="s">
        <v>235</v>
      </c>
      <c r="O200" s="47" t="s">
        <v>240</v>
      </c>
      <c r="P200" s="7"/>
      <c r="Q200" s="345">
        <f>Q201</f>
        <v>0</v>
      </c>
      <c r="R200" s="124">
        <f>R201</f>
        <v>0</v>
      </c>
      <c r="S200" s="283"/>
      <c r="T200" s="230"/>
    </row>
    <row r="201" spans="1:20" s="111" customFormat="1" ht="18.75" hidden="1">
      <c r="A201" s="81"/>
      <c r="B201" s="82"/>
      <c r="C201" s="81"/>
      <c r="D201" s="89"/>
      <c r="E201" s="90"/>
      <c r="F201" s="90"/>
      <c r="G201" s="75"/>
      <c r="H201" s="8" t="s">
        <v>8</v>
      </c>
      <c r="I201" s="3">
        <v>668</v>
      </c>
      <c r="J201" s="12">
        <v>4</v>
      </c>
      <c r="K201" s="12">
        <v>12</v>
      </c>
      <c r="L201" s="46" t="s">
        <v>225</v>
      </c>
      <c r="M201" s="47" t="s">
        <v>222</v>
      </c>
      <c r="N201" s="47" t="s">
        <v>235</v>
      </c>
      <c r="O201" s="47" t="s">
        <v>9</v>
      </c>
      <c r="P201" s="7"/>
      <c r="Q201" s="345">
        <f>Q202</f>
        <v>0</v>
      </c>
      <c r="R201" s="124">
        <f>R202</f>
        <v>0</v>
      </c>
      <c r="S201" s="283"/>
      <c r="T201" s="230"/>
    </row>
    <row r="202" spans="1:20" ht="18.75" hidden="1">
      <c r="A202" s="48"/>
      <c r="B202" s="49"/>
      <c r="C202" s="48"/>
      <c r="D202" s="52"/>
      <c r="E202" s="66"/>
      <c r="F202" s="66"/>
      <c r="G202" s="40"/>
      <c r="H202" s="8" t="s">
        <v>279</v>
      </c>
      <c r="I202" s="3">
        <v>668</v>
      </c>
      <c r="J202" s="12">
        <v>4</v>
      </c>
      <c r="K202" s="12">
        <v>12</v>
      </c>
      <c r="L202" s="46" t="s">
        <v>225</v>
      </c>
      <c r="M202" s="47" t="s">
        <v>222</v>
      </c>
      <c r="N202" s="47" t="s">
        <v>235</v>
      </c>
      <c r="O202" s="47" t="s">
        <v>9</v>
      </c>
      <c r="P202" s="7">
        <v>610</v>
      </c>
      <c r="Q202" s="345">
        <f>10+16.4-26.4</f>
        <v>0</v>
      </c>
      <c r="R202" s="124"/>
      <c r="T202" s="230"/>
    </row>
    <row r="203" spans="1:20" ht="31.5">
      <c r="A203" s="48"/>
      <c r="B203" s="49"/>
      <c r="C203" s="48"/>
      <c r="D203" s="52"/>
      <c r="E203" s="66"/>
      <c r="F203" s="66"/>
      <c r="G203" s="40"/>
      <c r="H203" s="8" t="s">
        <v>441</v>
      </c>
      <c r="I203" s="3">
        <v>668</v>
      </c>
      <c r="J203" s="12">
        <v>4</v>
      </c>
      <c r="K203" s="12">
        <v>12</v>
      </c>
      <c r="L203" s="46" t="s">
        <v>225</v>
      </c>
      <c r="M203" s="47" t="s">
        <v>222</v>
      </c>
      <c r="N203" s="47" t="s">
        <v>233</v>
      </c>
      <c r="O203" s="47" t="s">
        <v>240</v>
      </c>
      <c r="P203" s="7"/>
      <c r="Q203" s="124">
        <f>Q204</f>
        <v>21.700000000000003</v>
      </c>
      <c r="R203" s="124">
        <f>R204</f>
        <v>21.7</v>
      </c>
      <c r="T203" s="230"/>
    </row>
    <row r="204" spans="1:20" ht="18.75">
      <c r="A204" s="50"/>
      <c r="B204" s="49"/>
      <c r="C204" s="48"/>
      <c r="D204" s="52"/>
      <c r="E204" s="66"/>
      <c r="F204" s="66"/>
      <c r="G204" s="40"/>
      <c r="H204" s="8" t="s">
        <v>8</v>
      </c>
      <c r="I204" s="3">
        <v>668</v>
      </c>
      <c r="J204" s="12">
        <v>4</v>
      </c>
      <c r="K204" s="12">
        <v>12</v>
      </c>
      <c r="L204" s="46" t="s">
        <v>225</v>
      </c>
      <c r="M204" s="47" t="s">
        <v>222</v>
      </c>
      <c r="N204" s="47" t="s">
        <v>233</v>
      </c>
      <c r="O204" s="47" t="s">
        <v>9</v>
      </c>
      <c r="P204" s="7"/>
      <c r="Q204" s="124">
        <f>Q205</f>
        <v>21.700000000000003</v>
      </c>
      <c r="R204" s="124">
        <f>R205</f>
        <v>21.7</v>
      </c>
      <c r="T204" s="230"/>
    </row>
    <row r="205" spans="1:20" ht="18.75">
      <c r="A205" s="50"/>
      <c r="B205" s="49"/>
      <c r="C205" s="48"/>
      <c r="D205" s="52"/>
      <c r="E205" s="66"/>
      <c r="F205" s="66"/>
      <c r="G205" s="40"/>
      <c r="H205" s="8" t="s">
        <v>279</v>
      </c>
      <c r="I205" s="3">
        <v>668</v>
      </c>
      <c r="J205" s="12">
        <v>4</v>
      </c>
      <c r="K205" s="12">
        <v>12</v>
      </c>
      <c r="L205" s="46" t="s">
        <v>225</v>
      </c>
      <c r="M205" s="47" t="s">
        <v>222</v>
      </c>
      <c r="N205" s="47" t="s">
        <v>233</v>
      </c>
      <c r="O205" s="47" t="s">
        <v>9</v>
      </c>
      <c r="P205" s="7">
        <v>610</v>
      </c>
      <c r="Q205" s="124">
        <f>40-16.4-1.9</f>
        <v>21.700000000000003</v>
      </c>
      <c r="R205" s="124">
        <v>21.7</v>
      </c>
      <c r="T205" s="230"/>
    </row>
    <row r="206" spans="1:20" ht="18.75">
      <c r="A206" s="50"/>
      <c r="B206" s="49"/>
      <c r="C206" s="48"/>
      <c r="D206" s="52"/>
      <c r="E206" s="66"/>
      <c r="F206" s="66"/>
      <c r="G206" s="40"/>
      <c r="H206" s="8" t="s">
        <v>251</v>
      </c>
      <c r="I206" s="3">
        <v>668</v>
      </c>
      <c r="J206" s="12">
        <v>4</v>
      </c>
      <c r="K206" s="12">
        <v>12</v>
      </c>
      <c r="L206" s="46" t="s">
        <v>225</v>
      </c>
      <c r="M206" s="47" t="s">
        <v>222</v>
      </c>
      <c r="N206" s="47" t="s">
        <v>225</v>
      </c>
      <c r="O206" s="47" t="s">
        <v>240</v>
      </c>
      <c r="P206" s="7"/>
      <c r="Q206" s="124">
        <f>Q207+Q209</f>
        <v>7836.9</v>
      </c>
      <c r="R206" s="124">
        <f>R207+R209</f>
        <v>7836.9</v>
      </c>
      <c r="T206" s="230"/>
    </row>
    <row r="207" spans="1:20" ht="18.75">
      <c r="A207" s="50"/>
      <c r="B207" s="49"/>
      <c r="C207" s="48"/>
      <c r="D207" s="52"/>
      <c r="E207" s="66"/>
      <c r="F207" s="66"/>
      <c r="G207" s="40"/>
      <c r="H207" s="8" t="s">
        <v>8</v>
      </c>
      <c r="I207" s="3">
        <v>668</v>
      </c>
      <c r="J207" s="12">
        <v>4</v>
      </c>
      <c r="K207" s="12">
        <v>12</v>
      </c>
      <c r="L207" s="46" t="s">
        <v>225</v>
      </c>
      <c r="M207" s="47" t="s">
        <v>222</v>
      </c>
      <c r="N207" s="47" t="s">
        <v>225</v>
      </c>
      <c r="O207" s="47" t="s">
        <v>9</v>
      </c>
      <c r="P207" s="7"/>
      <c r="Q207" s="124">
        <f>Q208</f>
        <v>4095.2</v>
      </c>
      <c r="R207" s="124">
        <f>R208</f>
        <v>4095.2</v>
      </c>
      <c r="T207" s="230"/>
    </row>
    <row r="208" spans="1:20" ht="18.75">
      <c r="A208" s="50"/>
      <c r="B208" s="49"/>
      <c r="C208" s="48"/>
      <c r="D208" s="52"/>
      <c r="E208" s="66"/>
      <c r="F208" s="66"/>
      <c r="G208" s="40"/>
      <c r="H208" s="8" t="s">
        <v>279</v>
      </c>
      <c r="I208" s="3">
        <v>668</v>
      </c>
      <c r="J208" s="12">
        <v>4</v>
      </c>
      <c r="K208" s="12">
        <v>12</v>
      </c>
      <c r="L208" s="46" t="s">
        <v>225</v>
      </c>
      <c r="M208" s="47" t="s">
        <v>222</v>
      </c>
      <c r="N208" s="47" t="s">
        <v>225</v>
      </c>
      <c r="O208" s="47" t="s">
        <v>9</v>
      </c>
      <c r="P208" s="7">
        <v>610</v>
      </c>
      <c r="Q208" s="124">
        <f>3754.7+500-159.5</f>
        <v>4095.2</v>
      </c>
      <c r="R208" s="124">
        <v>4095.2</v>
      </c>
      <c r="T208" s="230"/>
    </row>
    <row r="209" spans="1:20" ht="31.5">
      <c r="A209" s="50"/>
      <c r="B209" s="49"/>
      <c r="C209" s="48"/>
      <c r="D209" s="52"/>
      <c r="E209" s="66"/>
      <c r="F209" s="66"/>
      <c r="G209" s="40"/>
      <c r="H209" s="1" t="s">
        <v>353</v>
      </c>
      <c r="I209" s="3">
        <v>668</v>
      </c>
      <c r="J209" s="12">
        <v>4</v>
      </c>
      <c r="K209" s="12">
        <v>12</v>
      </c>
      <c r="L209" s="46" t="s">
        <v>225</v>
      </c>
      <c r="M209" s="47" t="s">
        <v>222</v>
      </c>
      <c r="N209" s="47" t="s">
        <v>225</v>
      </c>
      <c r="O209" s="47" t="s">
        <v>352</v>
      </c>
      <c r="P209" s="7"/>
      <c r="Q209" s="124">
        <f>Q210</f>
        <v>3741.7</v>
      </c>
      <c r="R209" s="124">
        <f>R210</f>
        <v>3741.7</v>
      </c>
      <c r="T209" s="230"/>
    </row>
    <row r="210" spans="1:20" ht="18.75">
      <c r="A210" s="50"/>
      <c r="B210" s="49"/>
      <c r="C210" s="48"/>
      <c r="D210" s="52"/>
      <c r="E210" s="66"/>
      <c r="F210" s="66"/>
      <c r="G210" s="40"/>
      <c r="H210" s="8" t="s">
        <v>279</v>
      </c>
      <c r="I210" s="3">
        <v>668</v>
      </c>
      <c r="J210" s="12">
        <v>4</v>
      </c>
      <c r="K210" s="12">
        <v>12</v>
      </c>
      <c r="L210" s="46" t="s">
        <v>225</v>
      </c>
      <c r="M210" s="47" t="s">
        <v>222</v>
      </c>
      <c r="N210" s="47" t="s">
        <v>225</v>
      </c>
      <c r="O210" s="47" t="s">
        <v>352</v>
      </c>
      <c r="P210" s="7">
        <v>610</v>
      </c>
      <c r="Q210" s="124">
        <f>3582.2+159.5</f>
        <v>3741.7</v>
      </c>
      <c r="R210" s="124">
        <v>3741.7</v>
      </c>
      <c r="T210" s="230"/>
    </row>
    <row r="211" spans="1:20" ht="31.5">
      <c r="A211" s="50"/>
      <c r="B211" s="49"/>
      <c r="C211" s="48"/>
      <c r="D211" s="52"/>
      <c r="E211" s="66"/>
      <c r="F211" s="66"/>
      <c r="G211" s="40"/>
      <c r="H211" s="1" t="s">
        <v>26</v>
      </c>
      <c r="I211" s="7">
        <v>668</v>
      </c>
      <c r="J211" s="12">
        <v>4</v>
      </c>
      <c r="K211" s="12">
        <v>12</v>
      </c>
      <c r="L211" s="46" t="s">
        <v>225</v>
      </c>
      <c r="M211" s="47" t="s">
        <v>222</v>
      </c>
      <c r="N211" s="47" t="s">
        <v>236</v>
      </c>
      <c r="O211" s="47" t="s">
        <v>240</v>
      </c>
      <c r="P211" s="3"/>
      <c r="Q211" s="125">
        <f>Q212</f>
        <v>179.70000000000002</v>
      </c>
      <c r="R211" s="125">
        <f>R212</f>
        <v>179.7</v>
      </c>
      <c r="T211" s="230"/>
    </row>
    <row r="212" spans="1:20" ht="18.75">
      <c r="A212" s="50"/>
      <c r="B212" s="49"/>
      <c r="C212" s="48"/>
      <c r="D212" s="52"/>
      <c r="E212" s="66"/>
      <c r="F212" s="66"/>
      <c r="G212" s="40"/>
      <c r="H212" s="8" t="s">
        <v>8</v>
      </c>
      <c r="I212" s="7">
        <v>668</v>
      </c>
      <c r="J212" s="12">
        <v>4</v>
      </c>
      <c r="K212" s="12">
        <v>12</v>
      </c>
      <c r="L212" s="46" t="s">
        <v>225</v>
      </c>
      <c r="M212" s="47" t="s">
        <v>222</v>
      </c>
      <c r="N212" s="47" t="s">
        <v>236</v>
      </c>
      <c r="O212" s="47" t="s">
        <v>9</v>
      </c>
      <c r="P212" s="3"/>
      <c r="Q212" s="125">
        <f>Q213</f>
        <v>179.70000000000002</v>
      </c>
      <c r="R212" s="125">
        <f>R213</f>
        <v>179.7</v>
      </c>
      <c r="T212" s="230"/>
    </row>
    <row r="213" spans="1:20" ht="18.75">
      <c r="A213" s="50"/>
      <c r="B213" s="49"/>
      <c r="C213" s="48"/>
      <c r="D213" s="52"/>
      <c r="E213" s="66"/>
      <c r="F213" s="66"/>
      <c r="G213" s="40"/>
      <c r="H213" s="8" t="s">
        <v>279</v>
      </c>
      <c r="I213" s="7">
        <v>668</v>
      </c>
      <c r="J213" s="12">
        <v>4</v>
      </c>
      <c r="K213" s="12">
        <v>12</v>
      </c>
      <c r="L213" s="46" t="s">
        <v>225</v>
      </c>
      <c r="M213" s="47" t="s">
        <v>222</v>
      </c>
      <c r="N213" s="47" t="s">
        <v>236</v>
      </c>
      <c r="O213" s="47" t="s">
        <v>9</v>
      </c>
      <c r="P213" s="3">
        <v>610</v>
      </c>
      <c r="Q213" s="125">
        <f>140+26.4+13.3</f>
        <v>179.70000000000002</v>
      </c>
      <c r="R213" s="125">
        <v>179.7</v>
      </c>
      <c r="T213" s="230"/>
    </row>
    <row r="214" spans="1:20" ht="31.5">
      <c r="A214" s="50"/>
      <c r="B214" s="49"/>
      <c r="C214" s="48"/>
      <c r="D214" s="52"/>
      <c r="E214" s="66"/>
      <c r="F214" s="66"/>
      <c r="G214" s="40"/>
      <c r="H214" s="1" t="s">
        <v>543</v>
      </c>
      <c r="I214" s="7">
        <v>668</v>
      </c>
      <c r="J214" s="12">
        <v>4</v>
      </c>
      <c r="K214" s="12">
        <v>12</v>
      </c>
      <c r="L214" s="46" t="s">
        <v>544</v>
      </c>
      <c r="M214" s="47" t="s">
        <v>222</v>
      </c>
      <c r="N214" s="47" t="s">
        <v>231</v>
      </c>
      <c r="O214" s="47" t="s">
        <v>240</v>
      </c>
      <c r="P214" s="3"/>
      <c r="Q214" s="125">
        <f>Q215+Q221</f>
        <v>396.2</v>
      </c>
      <c r="R214" s="125">
        <f>R215+R221</f>
        <v>396.2</v>
      </c>
      <c r="T214" s="230"/>
    </row>
    <row r="215" spans="1:20" s="111" customFormat="1" ht="31.5">
      <c r="A215" s="81"/>
      <c r="B215" s="82"/>
      <c r="C215" s="81"/>
      <c r="D215" s="89"/>
      <c r="E215" s="90"/>
      <c r="F215" s="90"/>
      <c r="G215" s="75"/>
      <c r="H215" s="13" t="s">
        <v>545</v>
      </c>
      <c r="I215" s="7">
        <v>668</v>
      </c>
      <c r="J215" s="12">
        <v>4</v>
      </c>
      <c r="K215" s="12">
        <v>12</v>
      </c>
      <c r="L215" s="46" t="s">
        <v>544</v>
      </c>
      <c r="M215" s="47" t="s">
        <v>222</v>
      </c>
      <c r="N215" s="47" t="s">
        <v>223</v>
      </c>
      <c r="O215" s="47" t="s">
        <v>240</v>
      </c>
      <c r="P215" s="3"/>
      <c r="Q215" s="125">
        <f>Q216+Q219</f>
        <v>366.4</v>
      </c>
      <c r="R215" s="125">
        <f>R216+R219</f>
        <v>366.4</v>
      </c>
      <c r="S215" s="283"/>
      <c r="T215" s="230"/>
    </row>
    <row r="216" spans="1:20" ht="18.75">
      <c r="A216" s="48"/>
      <c r="B216" s="49"/>
      <c r="C216" s="48"/>
      <c r="D216" s="52"/>
      <c r="E216" s="66"/>
      <c r="F216" s="66"/>
      <c r="G216" s="40"/>
      <c r="H216" s="13" t="s">
        <v>5</v>
      </c>
      <c r="I216" s="7">
        <v>668</v>
      </c>
      <c r="J216" s="12">
        <v>4</v>
      </c>
      <c r="K216" s="12">
        <v>12</v>
      </c>
      <c r="L216" s="46" t="s">
        <v>544</v>
      </c>
      <c r="M216" s="47" t="s">
        <v>222</v>
      </c>
      <c r="N216" s="47" t="s">
        <v>223</v>
      </c>
      <c r="O216" s="47" t="s">
        <v>4</v>
      </c>
      <c r="P216" s="7"/>
      <c r="Q216" s="124">
        <f>Q217+Q218</f>
        <v>10</v>
      </c>
      <c r="R216" s="124">
        <f>R217+R218</f>
        <v>10</v>
      </c>
      <c r="T216" s="230"/>
    </row>
    <row r="217" spans="1:20" ht="18.75">
      <c r="A217" s="48"/>
      <c r="B217" s="49"/>
      <c r="C217" s="48"/>
      <c r="D217" s="52"/>
      <c r="E217" s="66"/>
      <c r="F217" s="66"/>
      <c r="G217" s="40"/>
      <c r="H217" s="2" t="s">
        <v>277</v>
      </c>
      <c r="I217" s="7">
        <v>668</v>
      </c>
      <c r="J217" s="12">
        <v>4</v>
      </c>
      <c r="K217" s="12">
        <v>12</v>
      </c>
      <c r="L217" s="46" t="s">
        <v>544</v>
      </c>
      <c r="M217" s="47" t="s">
        <v>222</v>
      </c>
      <c r="N217" s="47" t="s">
        <v>223</v>
      </c>
      <c r="O217" s="47" t="s">
        <v>4</v>
      </c>
      <c r="P217" s="7">
        <v>240</v>
      </c>
      <c r="Q217" s="124">
        <v>10</v>
      </c>
      <c r="R217" s="124">
        <v>10</v>
      </c>
      <c r="T217" s="230"/>
    </row>
    <row r="218" spans="1:20" ht="31.5" hidden="1">
      <c r="A218" s="48"/>
      <c r="B218" s="49"/>
      <c r="C218" s="48"/>
      <c r="D218" s="52"/>
      <c r="E218" s="66"/>
      <c r="F218" s="66"/>
      <c r="G218" s="40"/>
      <c r="H218" s="2" t="s">
        <v>340</v>
      </c>
      <c r="I218" s="7">
        <v>668</v>
      </c>
      <c r="J218" s="12">
        <v>4</v>
      </c>
      <c r="K218" s="12">
        <v>12</v>
      </c>
      <c r="L218" s="46" t="s">
        <v>544</v>
      </c>
      <c r="M218" s="47" t="s">
        <v>222</v>
      </c>
      <c r="N218" s="47" t="s">
        <v>223</v>
      </c>
      <c r="O218" s="47" t="s">
        <v>4</v>
      </c>
      <c r="P218" s="7">
        <v>810</v>
      </c>
      <c r="Q218" s="345">
        <v>0</v>
      </c>
      <c r="R218" s="124"/>
      <c r="T218" s="230"/>
    </row>
    <row r="219" spans="1:20" ht="18.75">
      <c r="A219" s="48"/>
      <c r="B219" s="49"/>
      <c r="C219" s="48"/>
      <c r="D219" s="52"/>
      <c r="E219" s="66"/>
      <c r="F219" s="66"/>
      <c r="G219" s="40"/>
      <c r="H219" s="2" t="s">
        <v>339</v>
      </c>
      <c r="I219" s="7">
        <v>668</v>
      </c>
      <c r="J219" s="12">
        <v>4</v>
      </c>
      <c r="K219" s="12">
        <v>12</v>
      </c>
      <c r="L219" s="46" t="s">
        <v>544</v>
      </c>
      <c r="M219" s="47" t="s">
        <v>222</v>
      </c>
      <c r="N219" s="47" t="s">
        <v>223</v>
      </c>
      <c r="O219" s="47" t="s">
        <v>338</v>
      </c>
      <c r="P219" s="7"/>
      <c r="Q219" s="124">
        <f>Q220</f>
        <v>356.4</v>
      </c>
      <c r="R219" s="124">
        <f>R220</f>
        <v>356.4</v>
      </c>
      <c r="T219" s="230"/>
    </row>
    <row r="220" spans="1:20" ht="31.5">
      <c r="A220" s="50"/>
      <c r="B220" s="49"/>
      <c r="C220" s="48"/>
      <c r="D220" s="52"/>
      <c r="E220" s="66"/>
      <c r="F220" s="66"/>
      <c r="G220" s="40"/>
      <c r="H220" s="2" t="s">
        <v>340</v>
      </c>
      <c r="I220" s="7">
        <v>668</v>
      </c>
      <c r="J220" s="12">
        <v>4</v>
      </c>
      <c r="K220" s="12">
        <v>12</v>
      </c>
      <c r="L220" s="46" t="s">
        <v>544</v>
      </c>
      <c r="M220" s="47" t="s">
        <v>222</v>
      </c>
      <c r="N220" s="47" t="s">
        <v>223</v>
      </c>
      <c r="O220" s="47" t="s">
        <v>338</v>
      </c>
      <c r="P220" s="7">
        <v>810</v>
      </c>
      <c r="Q220" s="124">
        <v>356.4</v>
      </c>
      <c r="R220" s="124">
        <v>356.4</v>
      </c>
      <c r="T220" s="230"/>
    </row>
    <row r="221" spans="1:20" ht="31.5">
      <c r="A221" s="50"/>
      <c r="B221" s="49"/>
      <c r="C221" s="48"/>
      <c r="D221" s="52"/>
      <c r="E221" s="66"/>
      <c r="F221" s="66"/>
      <c r="G221" s="40"/>
      <c r="H221" s="2" t="s">
        <v>546</v>
      </c>
      <c r="I221" s="7">
        <v>668</v>
      </c>
      <c r="J221" s="12">
        <v>4</v>
      </c>
      <c r="K221" s="12">
        <v>12</v>
      </c>
      <c r="L221" s="46" t="s">
        <v>544</v>
      </c>
      <c r="M221" s="47" t="s">
        <v>222</v>
      </c>
      <c r="N221" s="47" t="s">
        <v>234</v>
      </c>
      <c r="O221" s="47" t="s">
        <v>240</v>
      </c>
      <c r="P221" s="7"/>
      <c r="Q221" s="124">
        <f>Q222</f>
        <v>29.799999999999997</v>
      </c>
      <c r="R221" s="124">
        <f>R222</f>
        <v>29.8</v>
      </c>
      <c r="T221" s="230"/>
    </row>
    <row r="222" spans="1:20" ht="18.75">
      <c r="A222" s="50"/>
      <c r="B222" s="49"/>
      <c r="C222" s="48"/>
      <c r="D222" s="52"/>
      <c r="E222" s="66"/>
      <c r="F222" s="66"/>
      <c r="G222" s="40"/>
      <c r="H222" s="2" t="s">
        <v>7</v>
      </c>
      <c r="I222" s="7">
        <v>668</v>
      </c>
      <c r="J222" s="12">
        <v>4</v>
      </c>
      <c r="K222" s="12">
        <v>12</v>
      </c>
      <c r="L222" s="46" t="s">
        <v>544</v>
      </c>
      <c r="M222" s="47" t="s">
        <v>222</v>
      </c>
      <c r="N222" s="47" t="s">
        <v>234</v>
      </c>
      <c r="O222" s="47" t="s">
        <v>6</v>
      </c>
      <c r="P222" s="7"/>
      <c r="Q222" s="124">
        <f>Q223</f>
        <v>29.799999999999997</v>
      </c>
      <c r="R222" s="124">
        <f>R223</f>
        <v>29.8</v>
      </c>
      <c r="T222" s="230"/>
    </row>
    <row r="223" spans="1:20" ht="18.75">
      <c r="A223" s="50"/>
      <c r="B223" s="49"/>
      <c r="C223" s="48"/>
      <c r="D223" s="52"/>
      <c r="E223" s="66"/>
      <c r="F223" s="66"/>
      <c r="G223" s="40"/>
      <c r="H223" s="2" t="s">
        <v>277</v>
      </c>
      <c r="I223" s="7">
        <v>668</v>
      </c>
      <c r="J223" s="12">
        <v>4</v>
      </c>
      <c r="K223" s="12">
        <v>12</v>
      </c>
      <c r="L223" s="46" t="s">
        <v>544</v>
      </c>
      <c r="M223" s="47" t="s">
        <v>222</v>
      </c>
      <c r="N223" s="47" t="s">
        <v>234</v>
      </c>
      <c r="O223" s="47" t="s">
        <v>6</v>
      </c>
      <c r="P223" s="7">
        <v>240</v>
      </c>
      <c r="Q223" s="124">
        <f>80-50.2</f>
        <v>29.799999999999997</v>
      </c>
      <c r="R223" s="124">
        <v>29.8</v>
      </c>
      <c r="T223" s="230"/>
    </row>
    <row r="224" spans="1:20" ht="19.5">
      <c r="A224" s="50"/>
      <c r="B224" s="49"/>
      <c r="C224" s="48"/>
      <c r="D224" s="52"/>
      <c r="E224" s="66"/>
      <c r="F224" s="66"/>
      <c r="G224" s="40"/>
      <c r="H224" s="231" t="s">
        <v>547</v>
      </c>
      <c r="I224" s="77">
        <v>668</v>
      </c>
      <c r="J224" s="78">
        <v>5</v>
      </c>
      <c r="K224" s="78" t="s">
        <v>241</v>
      </c>
      <c r="L224" s="79"/>
      <c r="M224" s="80"/>
      <c r="N224" s="80"/>
      <c r="O224" s="80"/>
      <c r="P224" s="77"/>
      <c r="Q224" s="123">
        <f>Q225+Q241+Q271+Q291</f>
        <v>257339</v>
      </c>
      <c r="R224" s="123">
        <f>R225+R241+R271+R291</f>
        <v>247802.8</v>
      </c>
      <c r="T224" s="230"/>
    </row>
    <row r="225" spans="1:20" ht="19.5">
      <c r="A225" s="50"/>
      <c r="B225" s="49"/>
      <c r="C225" s="48"/>
      <c r="D225" s="52"/>
      <c r="E225" s="66"/>
      <c r="F225" s="66"/>
      <c r="G225" s="40"/>
      <c r="H225" s="243" t="s">
        <v>239</v>
      </c>
      <c r="I225" s="77">
        <v>668</v>
      </c>
      <c r="J225" s="78">
        <v>5</v>
      </c>
      <c r="K225" s="78">
        <v>1</v>
      </c>
      <c r="L225" s="79"/>
      <c r="M225" s="80"/>
      <c r="N225" s="80"/>
      <c r="O225" s="80"/>
      <c r="P225" s="77"/>
      <c r="Q225" s="123">
        <f>Q230+Q226</f>
        <v>249738.2</v>
      </c>
      <c r="R225" s="123">
        <f>R230+R226</f>
        <v>240594.1</v>
      </c>
      <c r="T225" s="230"/>
    </row>
    <row r="226" spans="1:20" ht="31.5">
      <c r="A226" s="50"/>
      <c r="B226" s="49"/>
      <c r="C226" s="48"/>
      <c r="D226" s="52"/>
      <c r="E226" s="66"/>
      <c r="F226" s="66"/>
      <c r="G226" s="40"/>
      <c r="H226" s="244" t="s">
        <v>509</v>
      </c>
      <c r="I226" s="7">
        <v>668</v>
      </c>
      <c r="J226" s="12">
        <v>5</v>
      </c>
      <c r="K226" s="12">
        <v>1</v>
      </c>
      <c r="L226" s="46" t="s">
        <v>510</v>
      </c>
      <c r="M226" s="47" t="s">
        <v>222</v>
      </c>
      <c r="N226" s="47" t="s">
        <v>231</v>
      </c>
      <c r="O226" s="47" t="s">
        <v>240</v>
      </c>
      <c r="P226" s="7"/>
      <c r="Q226" s="124">
        <f>Q229</f>
        <v>23.8</v>
      </c>
      <c r="R226" s="124">
        <f>R229</f>
        <v>23.8</v>
      </c>
      <c r="T226" s="230"/>
    </row>
    <row r="227" spans="1:20" ht="31.5">
      <c r="A227" s="50"/>
      <c r="B227" s="49"/>
      <c r="C227" s="48"/>
      <c r="D227" s="52"/>
      <c r="E227" s="66"/>
      <c r="F227" s="66"/>
      <c r="G227" s="40"/>
      <c r="H227" s="244" t="s">
        <v>511</v>
      </c>
      <c r="I227" s="7">
        <v>668</v>
      </c>
      <c r="J227" s="12">
        <v>5</v>
      </c>
      <c r="K227" s="12">
        <v>1</v>
      </c>
      <c r="L227" s="46" t="s">
        <v>510</v>
      </c>
      <c r="M227" s="47" t="s">
        <v>222</v>
      </c>
      <c r="N227" s="47" t="s">
        <v>223</v>
      </c>
      <c r="O227" s="47" t="s">
        <v>240</v>
      </c>
      <c r="P227" s="7"/>
      <c r="Q227" s="124">
        <f>Q229</f>
        <v>23.8</v>
      </c>
      <c r="R227" s="124">
        <f>R229</f>
        <v>23.8</v>
      </c>
      <c r="T227" s="230"/>
    </row>
    <row r="228" spans="1:20" ht="18.75">
      <c r="A228" s="50"/>
      <c r="B228" s="49"/>
      <c r="C228" s="48"/>
      <c r="D228" s="52"/>
      <c r="E228" s="66"/>
      <c r="F228" s="66"/>
      <c r="G228" s="40"/>
      <c r="H228" s="244" t="s">
        <v>548</v>
      </c>
      <c r="I228" s="7">
        <v>668</v>
      </c>
      <c r="J228" s="12">
        <v>5</v>
      </c>
      <c r="K228" s="12">
        <v>1</v>
      </c>
      <c r="L228" s="46" t="s">
        <v>510</v>
      </c>
      <c r="M228" s="47" t="s">
        <v>222</v>
      </c>
      <c r="N228" s="47" t="s">
        <v>223</v>
      </c>
      <c r="O228" s="47" t="s">
        <v>73</v>
      </c>
      <c r="P228" s="7"/>
      <c r="Q228" s="124">
        <f>Q229</f>
        <v>23.8</v>
      </c>
      <c r="R228" s="124">
        <f>R229</f>
        <v>23.8</v>
      </c>
      <c r="T228" s="230"/>
    </row>
    <row r="229" spans="1:20" ht="18.75">
      <c r="A229" s="50"/>
      <c r="B229" s="49"/>
      <c r="C229" s="48"/>
      <c r="D229" s="52"/>
      <c r="E229" s="66"/>
      <c r="F229" s="66"/>
      <c r="G229" s="40"/>
      <c r="H229" s="2" t="s">
        <v>277</v>
      </c>
      <c r="I229" s="7">
        <v>668</v>
      </c>
      <c r="J229" s="12">
        <v>5</v>
      </c>
      <c r="K229" s="12">
        <v>1</v>
      </c>
      <c r="L229" s="46" t="s">
        <v>510</v>
      </c>
      <c r="M229" s="47" t="s">
        <v>222</v>
      </c>
      <c r="N229" s="47" t="s">
        <v>223</v>
      </c>
      <c r="O229" s="47" t="s">
        <v>73</v>
      </c>
      <c r="P229" s="7">
        <v>240</v>
      </c>
      <c r="Q229" s="124">
        <v>23.8</v>
      </c>
      <c r="R229" s="124">
        <v>23.8</v>
      </c>
      <c r="T229" s="230"/>
    </row>
    <row r="230" spans="1:20" ht="47.25">
      <c r="A230" s="50"/>
      <c r="B230" s="49"/>
      <c r="C230" s="48"/>
      <c r="D230" s="52"/>
      <c r="E230" s="66"/>
      <c r="F230" s="66"/>
      <c r="G230" s="40"/>
      <c r="H230" s="13" t="s">
        <v>323</v>
      </c>
      <c r="I230" s="3">
        <v>668</v>
      </c>
      <c r="J230" s="12">
        <v>5</v>
      </c>
      <c r="K230" s="12">
        <v>1</v>
      </c>
      <c r="L230" s="46" t="s">
        <v>23</v>
      </c>
      <c r="M230" s="47" t="s">
        <v>222</v>
      </c>
      <c r="N230" s="47" t="s">
        <v>231</v>
      </c>
      <c r="O230" s="47" t="s">
        <v>240</v>
      </c>
      <c r="P230" s="7"/>
      <c r="Q230" s="124">
        <f>Q231</f>
        <v>249714.40000000002</v>
      </c>
      <c r="R230" s="124">
        <f>R231</f>
        <v>240570.30000000002</v>
      </c>
      <c r="T230" s="230"/>
    </row>
    <row r="231" spans="1:20" s="111" customFormat="1" ht="31.5">
      <c r="A231" s="81"/>
      <c r="B231" s="82"/>
      <c r="C231" s="81"/>
      <c r="D231" s="89"/>
      <c r="E231" s="90"/>
      <c r="F231" s="90"/>
      <c r="G231" s="75"/>
      <c r="H231" s="13" t="s">
        <v>385</v>
      </c>
      <c r="I231" s="7">
        <v>668</v>
      </c>
      <c r="J231" s="12">
        <v>5</v>
      </c>
      <c r="K231" s="12">
        <v>1</v>
      </c>
      <c r="L231" s="46" t="s">
        <v>23</v>
      </c>
      <c r="M231" s="47" t="s">
        <v>222</v>
      </c>
      <c r="N231" s="47" t="s">
        <v>324</v>
      </c>
      <c r="O231" s="47" t="s">
        <v>240</v>
      </c>
      <c r="P231" s="7"/>
      <c r="Q231" s="124">
        <f>Q232+Q235+Q238</f>
        <v>249714.40000000002</v>
      </c>
      <c r="R231" s="124">
        <f>R232+R235+R238</f>
        <v>240570.30000000002</v>
      </c>
      <c r="S231" s="283"/>
      <c r="T231" s="230"/>
    </row>
    <row r="232" spans="1:20" ht="31.5">
      <c r="A232" s="48"/>
      <c r="B232" s="49"/>
      <c r="C232" s="48"/>
      <c r="D232" s="52"/>
      <c r="E232" s="66"/>
      <c r="F232" s="66"/>
      <c r="G232" s="40"/>
      <c r="H232" s="13" t="s">
        <v>318</v>
      </c>
      <c r="I232" s="7">
        <v>668</v>
      </c>
      <c r="J232" s="12">
        <v>5</v>
      </c>
      <c r="K232" s="12">
        <v>1</v>
      </c>
      <c r="L232" s="46" t="s">
        <v>23</v>
      </c>
      <c r="M232" s="47" t="s">
        <v>222</v>
      </c>
      <c r="N232" s="47" t="s">
        <v>324</v>
      </c>
      <c r="O232" s="47" t="s">
        <v>327</v>
      </c>
      <c r="P232" s="3"/>
      <c r="Q232" s="125">
        <f>Q233+Q234</f>
        <v>162528.9</v>
      </c>
      <c r="R232" s="125">
        <f>R233+R234</f>
        <v>154677.8</v>
      </c>
      <c r="T232" s="230"/>
    </row>
    <row r="233" spans="1:20" ht="18.75">
      <c r="A233" s="48"/>
      <c r="B233" s="49"/>
      <c r="C233" s="48"/>
      <c r="D233" s="52"/>
      <c r="E233" s="66"/>
      <c r="F233" s="66"/>
      <c r="G233" s="40"/>
      <c r="H233" s="13" t="s">
        <v>207</v>
      </c>
      <c r="I233" s="7">
        <v>668</v>
      </c>
      <c r="J233" s="12">
        <v>5</v>
      </c>
      <c r="K233" s="12">
        <v>1</v>
      </c>
      <c r="L233" s="46" t="s">
        <v>23</v>
      </c>
      <c r="M233" s="47" t="s">
        <v>222</v>
      </c>
      <c r="N233" s="47" t="s">
        <v>324</v>
      </c>
      <c r="O233" s="47" t="s">
        <v>327</v>
      </c>
      <c r="P233" s="3">
        <v>410</v>
      </c>
      <c r="Q233" s="125">
        <f>149663.5+23051.6-1182.7-20531.5-10186.2-1346.9-31380.5-41427-12526.1</f>
        <v>54134.19999999999</v>
      </c>
      <c r="R233" s="125">
        <v>46674.9</v>
      </c>
      <c r="T233" s="230"/>
    </row>
    <row r="234" spans="1:20" ht="18.75">
      <c r="A234" s="48"/>
      <c r="B234" s="49"/>
      <c r="C234" s="48"/>
      <c r="D234" s="52"/>
      <c r="E234" s="66"/>
      <c r="F234" s="66"/>
      <c r="G234" s="40"/>
      <c r="H234" s="8" t="s">
        <v>278</v>
      </c>
      <c r="I234" s="7">
        <v>668</v>
      </c>
      <c r="J234" s="12">
        <v>5</v>
      </c>
      <c r="K234" s="12">
        <v>1</v>
      </c>
      <c r="L234" s="46" t="s">
        <v>23</v>
      </c>
      <c r="M234" s="47" t="s">
        <v>222</v>
      </c>
      <c r="N234" s="47" t="s">
        <v>324</v>
      </c>
      <c r="O234" s="47" t="s">
        <v>327</v>
      </c>
      <c r="P234" s="7">
        <v>850</v>
      </c>
      <c r="Q234" s="124">
        <f>1182.7+20531.5+1346.9+31380.5+41427+12526.1</f>
        <v>108394.70000000001</v>
      </c>
      <c r="R234" s="124">
        <v>108002.9</v>
      </c>
      <c r="T234" s="230"/>
    </row>
    <row r="235" spans="1:20" ht="31.5">
      <c r="A235" s="48"/>
      <c r="B235" s="49"/>
      <c r="C235" s="48"/>
      <c r="D235" s="52"/>
      <c r="E235" s="66"/>
      <c r="F235" s="66"/>
      <c r="G235" s="40"/>
      <c r="H235" s="13" t="s">
        <v>319</v>
      </c>
      <c r="I235" s="7">
        <v>668</v>
      </c>
      <c r="J235" s="12">
        <v>5</v>
      </c>
      <c r="K235" s="12">
        <v>1</v>
      </c>
      <c r="L235" s="46" t="s">
        <v>23</v>
      </c>
      <c r="M235" s="47" t="s">
        <v>222</v>
      </c>
      <c r="N235" s="47" t="s">
        <v>324</v>
      </c>
      <c r="O235" s="47" t="s">
        <v>328</v>
      </c>
      <c r="P235" s="7"/>
      <c r="Q235" s="124">
        <f>Q236+Q237</f>
        <v>86144.90000000002</v>
      </c>
      <c r="R235" s="124">
        <f>R236+R237</f>
        <v>84851.90000000001</v>
      </c>
      <c r="T235" s="230"/>
    </row>
    <row r="236" spans="1:20" s="111" customFormat="1" ht="18.75">
      <c r="A236" s="81"/>
      <c r="B236" s="82"/>
      <c r="C236" s="81"/>
      <c r="D236" s="89"/>
      <c r="E236" s="90"/>
      <c r="F236" s="90"/>
      <c r="G236" s="75"/>
      <c r="H236" s="13" t="s">
        <v>207</v>
      </c>
      <c r="I236" s="7">
        <v>668</v>
      </c>
      <c r="J236" s="12">
        <v>5</v>
      </c>
      <c r="K236" s="12">
        <v>1</v>
      </c>
      <c r="L236" s="46" t="s">
        <v>23</v>
      </c>
      <c r="M236" s="47" t="s">
        <v>222</v>
      </c>
      <c r="N236" s="47" t="s">
        <v>324</v>
      </c>
      <c r="O236" s="47" t="s">
        <v>328</v>
      </c>
      <c r="P236" s="7">
        <v>410</v>
      </c>
      <c r="Q236" s="124">
        <f>443734.9+19957.2-49.3-455.5-15153.8-93.9-1912.8-24506.9-2559.5-337886.5</f>
        <v>81073.90000000002</v>
      </c>
      <c r="R236" s="124">
        <v>80351.8</v>
      </c>
      <c r="S236" s="283"/>
      <c r="T236" s="230"/>
    </row>
    <row r="237" spans="1:20" ht="18.75">
      <c r="A237" s="48"/>
      <c r="B237" s="49"/>
      <c r="C237" s="48"/>
      <c r="D237" s="52"/>
      <c r="E237" s="66"/>
      <c r="F237" s="66"/>
      <c r="G237" s="40"/>
      <c r="H237" s="8" t="s">
        <v>278</v>
      </c>
      <c r="I237" s="7">
        <v>668</v>
      </c>
      <c r="J237" s="12">
        <v>5</v>
      </c>
      <c r="K237" s="12">
        <v>1</v>
      </c>
      <c r="L237" s="46" t="s">
        <v>23</v>
      </c>
      <c r="M237" s="47" t="s">
        <v>222</v>
      </c>
      <c r="N237" s="47" t="s">
        <v>324</v>
      </c>
      <c r="O237" s="47" t="s">
        <v>328</v>
      </c>
      <c r="P237" s="7">
        <v>850</v>
      </c>
      <c r="Q237" s="124">
        <f>49.3+455.5+93.9+1912.8+2559.5</f>
        <v>5071</v>
      </c>
      <c r="R237" s="124">
        <v>4500.1</v>
      </c>
      <c r="T237" s="230"/>
    </row>
    <row r="238" spans="1:20" ht="31.5">
      <c r="A238" s="48"/>
      <c r="B238" s="49"/>
      <c r="C238" s="48"/>
      <c r="D238" s="52"/>
      <c r="E238" s="66"/>
      <c r="F238" s="66"/>
      <c r="G238" s="40"/>
      <c r="H238" s="13" t="s">
        <v>549</v>
      </c>
      <c r="I238" s="7">
        <v>668</v>
      </c>
      <c r="J238" s="12">
        <v>5</v>
      </c>
      <c r="K238" s="12">
        <v>1</v>
      </c>
      <c r="L238" s="46" t="s">
        <v>23</v>
      </c>
      <c r="M238" s="47" t="s">
        <v>222</v>
      </c>
      <c r="N238" s="47" t="s">
        <v>324</v>
      </c>
      <c r="O238" s="47" t="s">
        <v>330</v>
      </c>
      <c r="P238" s="7"/>
      <c r="Q238" s="124">
        <f>Q239+Q240</f>
        <v>1040.6</v>
      </c>
      <c r="R238" s="124">
        <f>R239+R240</f>
        <v>1040.6</v>
      </c>
      <c r="T238" s="230"/>
    </row>
    <row r="239" spans="1:20" ht="18.75" hidden="1">
      <c r="A239" s="48"/>
      <c r="B239" s="49"/>
      <c r="C239" s="48"/>
      <c r="D239" s="52"/>
      <c r="E239" s="66"/>
      <c r="F239" s="66"/>
      <c r="G239" s="40"/>
      <c r="H239" s="2" t="s">
        <v>277</v>
      </c>
      <c r="I239" s="7">
        <v>668</v>
      </c>
      <c r="J239" s="12">
        <v>5</v>
      </c>
      <c r="K239" s="12">
        <v>1</v>
      </c>
      <c r="L239" s="46" t="s">
        <v>23</v>
      </c>
      <c r="M239" s="47" t="s">
        <v>222</v>
      </c>
      <c r="N239" s="47" t="s">
        <v>324</v>
      </c>
      <c r="O239" s="47" t="s">
        <v>330</v>
      </c>
      <c r="P239" s="7">
        <v>240</v>
      </c>
      <c r="Q239" s="345">
        <v>0</v>
      </c>
      <c r="R239" s="124"/>
      <c r="T239" s="230"/>
    </row>
    <row r="240" spans="1:20" ht="18.75">
      <c r="A240" s="48"/>
      <c r="B240" s="49"/>
      <c r="C240" s="48"/>
      <c r="D240" s="52"/>
      <c r="E240" s="66"/>
      <c r="F240" s="66"/>
      <c r="G240" s="40"/>
      <c r="H240" s="8" t="s">
        <v>296</v>
      </c>
      <c r="I240" s="7">
        <v>668</v>
      </c>
      <c r="J240" s="12">
        <v>5</v>
      </c>
      <c r="K240" s="12">
        <v>1</v>
      </c>
      <c r="L240" s="46" t="s">
        <v>23</v>
      </c>
      <c r="M240" s="47" t="s">
        <v>222</v>
      </c>
      <c r="N240" s="47" t="s">
        <v>324</v>
      </c>
      <c r="O240" s="47" t="s">
        <v>330</v>
      </c>
      <c r="P240" s="7">
        <v>620</v>
      </c>
      <c r="Q240" s="124">
        <f>1795-234.4-520</f>
        <v>1040.6</v>
      </c>
      <c r="R240" s="124">
        <v>1040.6</v>
      </c>
      <c r="T240" s="230"/>
    </row>
    <row r="241" spans="1:20" ht="19.5">
      <c r="A241" s="48"/>
      <c r="B241" s="49"/>
      <c r="C241" s="48"/>
      <c r="D241" s="52"/>
      <c r="E241" s="66"/>
      <c r="F241" s="66"/>
      <c r="G241" s="40"/>
      <c r="H241" s="245" t="s">
        <v>290</v>
      </c>
      <c r="I241" s="77">
        <v>668</v>
      </c>
      <c r="J241" s="78">
        <v>5</v>
      </c>
      <c r="K241" s="78">
        <v>2</v>
      </c>
      <c r="L241" s="79"/>
      <c r="M241" s="80"/>
      <c r="N241" s="80"/>
      <c r="O241" s="80"/>
      <c r="P241" s="77"/>
      <c r="Q241" s="123">
        <f>Q242+Q248</f>
        <v>3402.3</v>
      </c>
      <c r="R241" s="123">
        <f>R242+R248</f>
        <v>3251.8</v>
      </c>
      <c r="T241" s="230"/>
    </row>
    <row r="242" spans="1:20" ht="31.5" hidden="1">
      <c r="A242" s="48"/>
      <c r="B242" s="49"/>
      <c r="C242" s="48"/>
      <c r="D242" s="52"/>
      <c r="E242" s="66"/>
      <c r="F242" s="66"/>
      <c r="G242" s="40"/>
      <c r="H242" s="8" t="s">
        <v>509</v>
      </c>
      <c r="I242" s="7">
        <v>668</v>
      </c>
      <c r="J242" s="12">
        <v>5</v>
      </c>
      <c r="K242" s="12">
        <v>2</v>
      </c>
      <c r="L242" s="46" t="s">
        <v>510</v>
      </c>
      <c r="M242" s="47" t="s">
        <v>222</v>
      </c>
      <c r="N242" s="47" t="s">
        <v>231</v>
      </c>
      <c r="O242" s="47" t="s">
        <v>240</v>
      </c>
      <c r="P242" s="7"/>
      <c r="Q242" s="345">
        <f>Q243</f>
        <v>0</v>
      </c>
      <c r="R242" s="124">
        <f>R243</f>
        <v>0</v>
      </c>
      <c r="T242" s="230"/>
    </row>
    <row r="243" spans="1:20" ht="31.5" hidden="1">
      <c r="A243" s="50"/>
      <c r="B243" s="49"/>
      <c r="C243" s="48"/>
      <c r="D243" s="52"/>
      <c r="E243" s="66"/>
      <c r="F243" s="66"/>
      <c r="G243" s="40"/>
      <c r="H243" s="8" t="s">
        <v>511</v>
      </c>
      <c r="I243" s="7">
        <v>668</v>
      </c>
      <c r="J243" s="12">
        <v>5</v>
      </c>
      <c r="K243" s="12">
        <v>2</v>
      </c>
      <c r="L243" s="46" t="s">
        <v>510</v>
      </c>
      <c r="M243" s="47" t="s">
        <v>222</v>
      </c>
      <c r="N243" s="47" t="s">
        <v>223</v>
      </c>
      <c r="O243" s="47" t="s">
        <v>240</v>
      </c>
      <c r="P243" s="7"/>
      <c r="Q243" s="345">
        <f>Q246+Q244</f>
        <v>0</v>
      </c>
      <c r="R243" s="124">
        <f>R246+R244</f>
        <v>0</v>
      </c>
      <c r="T243" s="230"/>
    </row>
    <row r="244" spans="1:20" ht="18.75" hidden="1">
      <c r="A244" s="50"/>
      <c r="B244" s="49"/>
      <c r="C244" s="48"/>
      <c r="D244" s="52"/>
      <c r="E244" s="66"/>
      <c r="F244" s="66"/>
      <c r="G244" s="40"/>
      <c r="H244" s="8" t="s">
        <v>64</v>
      </c>
      <c r="I244" s="7">
        <v>668</v>
      </c>
      <c r="J244" s="12">
        <v>5</v>
      </c>
      <c r="K244" s="12">
        <v>2</v>
      </c>
      <c r="L244" s="46" t="s">
        <v>510</v>
      </c>
      <c r="M244" s="47" t="s">
        <v>222</v>
      </c>
      <c r="N244" s="47" t="s">
        <v>223</v>
      </c>
      <c r="O244" s="47" t="s">
        <v>243</v>
      </c>
      <c r="P244" s="7"/>
      <c r="Q244" s="345">
        <f>Q245</f>
        <v>0</v>
      </c>
      <c r="R244" s="124">
        <f>R245</f>
        <v>0</v>
      </c>
      <c r="T244" s="230"/>
    </row>
    <row r="245" spans="1:20" ht="18.75" hidden="1">
      <c r="A245" s="50"/>
      <c r="B245" s="49"/>
      <c r="C245" s="48"/>
      <c r="D245" s="52"/>
      <c r="E245" s="66"/>
      <c r="F245" s="66"/>
      <c r="G245" s="40"/>
      <c r="H245" s="2" t="s">
        <v>277</v>
      </c>
      <c r="I245" s="7">
        <v>668</v>
      </c>
      <c r="J245" s="12">
        <v>5</v>
      </c>
      <c r="K245" s="12">
        <v>2</v>
      </c>
      <c r="L245" s="46" t="s">
        <v>510</v>
      </c>
      <c r="M245" s="47" t="s">
        <v>222</v>
      </c>
      <c r="N245" s="47" t="s">
        <v>223</v>
      </c>
      <c r="O245" s="47" t="s">
        <v>243</v>
      </c>
      <c r="P245" s="7">
        <v>240</v>
      </c>
      <c r="Q245" s="345">
        <f>60-60</f>
        <v>0</v>
      </c>
      <c r="R245" s="124"/>
      <c r="T245" s="230"/>
    </row>
    <row r="246" spans="1:20" ht="18.75" hidden="1">
      <c r="A246" s="50"/>
      <c r="B246" s="49"/>
      <c r="C246" s="48"/>
      <c r="D246" s="52"/>
      <c r="E246" s="66"/>
      <c r="F246" s="66"/>
      <c r="G246" s="40"/>
      <c r="H246" s="13" t="s">
        <v>456</v>
      </c>
      <c r="I246" s="7">
        <v>668</v>
      </c>
      <c r="J246" s="12">
        <v>5</v>
      </c>
      <c r="K246" s="12">
        <v>2</v>
      </c>
      <c r="L246" s="46" t="s">
        <v>510</v>
      </c>
      <c r="M246" s="47" t="s">
        <v>222</v>
      </c>
      <c r="N246" s="47" t="s">
        <v>223</v>
      </c>
      <c r="O246" s="47" t="s">
        <v>294</v>
      </c>
      <c r="P246" s="7"/>
      <c r="Q246" s="345">
        <f>Q247</f>
        <v>0</v>
      </c>
      <c r="R246" s="124">
        <f>R247</f>
        <v>0</v>
      </c>
      <c r="T246" s="230"/>
    </row>
    <row r="247" spans="1:20" ht="18.75" hidden="1">
      <c r="A247" s="50"/>
      <c r="B247" s="49"/>
      <c r="C247" s="48"/>
      <c r="D247" s="52"/>
      <c r="E247" s="66"/>
      <c r="F247" s="66"/>
      <c r="G247" s="40"/>
      <c r="H247" s="2" t="s">
        <v>277</v>
      </c>
      <c r="I247" s="7">
        <v>668</v>
      </c>
      <c r="J247" s="12">
        <v>5</v>
      </c>
      <c r="K247" s="12">
        <v>2</v>
      </c>
      <c r="L247" s="46" t="s">
        <v>510</v>
      </c>
      <c r="M247" s="47" t="s">
        <v>222</v>
      </c>
      <c r="N247" s="47" t="s">
        <v>223</v>
      </c>
      <c r="O247" s="47" t="s">
        <v>294</v>
      </c>
      <c r="P247" s="7">
        <v>240</v>
      </c>
      <c r="Q247" s="345">
        <f>1000+1703.9-509.8-1824.4-369.7</f>
        <v>0</v>
      </c>
      <c r="R247" s="124"/>
      <c r="T247" s="230"/>
    </row>
    <row r="248" spans="1:20" ht="31.5">
      <c r="A248" s="50"/>
      <c r="B248" s="49"/>
      <c r="C248" s="48"/>
      <c r="D248" s="52"/>
      <c r="E248" s="66"/>
      <c r="F248" s="66"/>
      <c r="G248" s="40"/>
      <c r="H248" s="2" t="s">
        <v>550</v>
      </c>
      <c r="I248" s="7">
        <v>668</v>
      </c>
      <c r="J248" s="12">
        <v>5</v>
      </c>
      <c r="K248" s="12">
        <v>2</v>
      </c>
      <c r="L248" s="46" t="s">
        <v>551</v>
      </c>
      <c r="M248" s="47" t="s">
        <v>222</v>
      </c>
      <c r="N248" s="47" t="s">
        <v>231</v>
      </c>
      <c r="O248" s="47" t="s">
        <v>240</v>
      </c>
      <c r="P248" s="7"/>
      <c r="Q248" s="124">
        <f>Q249+Q258+Q262+Q266+Q255+Q252</f>
        <v>3402.3</v>
      </c>
      <c r="R248" s="124">
        <f>R249+R258+R262+R266+R255+R252</f>
        <v>3251.8</v>
      </c>
      <c r="T248" s="230"/>
    </row>
    <row r="249" spans="1:20" ht="31.5">
      <c r="A249" s="50"/>
      <c r="B249" s="49"/>
      <c r="C249" s="48"/>
      <c r="D249" s="52"/>
      <c r="E249" s="66"/>
      <c r="F249" s="66"/>
      <c r="G249" s="40"/>
      <c r="H249" s="2" t="s">
        <v>552</v>
      </c>
      <c r="I249" s="7">
        <v>668</v>
      </c>
      <c r="J249" s="12">
        <v>5</v>
      </c>
      <c r="K249" s="12">
        <v>2</v>
      </c>
      <c r="L249" s="46" t="s">
        <v>551</v>
      </c>
      <c r="M249" s="47" t="s">
        <v>222</v>
      </c>
      <c r="N249" s="47" t="s">
        <v>234</v>
      </c>
      <c r="O249" s="47" t="s">
        <v>240</v>
      </c>
      <c r="P249" s="7"/>
      <c r="Q249" s="124">
        <f>Q250</f>
        <v>215</v>
      </c>
      <c r="R249" s="124">
        <f>R250</f>
        <v>64.5</v>
      </c>
      <c r="T249" s="230"/>
    </row>
    <row r="250" spans="1:20" ht="18.75">
      <c r="A250" s="50"/>
      <c r="B250" s="49"/>
      <c r="C250" s="48"/>
      <c r="D250" s="52"/>
      <c r="E250" s="66"/>
      <c r="F250" s="66"/>
      <c r="G250" s="40"/>
      <c r="H250" s="2" t="s">
        <v>553</v>
      </c>
      <c r="I250" s="7">
        <v>668</v>
      </c>
      <c r="J250" s="12">
        <v>5</v>
      </c>
      <c r="K250" s="12">
        <v>2</v>
      </c>
      <c r="L250" s="46" t="s">
        <v>551</v>
      </c>
      <c r="M250" s="47" t="s">
        <v>222</v>
      </c>
      <c r="N250" s="47" t="s">
        <v>234</v>
      </c>
      <c r="O250" s="47" t="s">
        <v>554</v>
      </c>
      <c r="P250" s="7"/>
      <c r="Q250" s="124">
        <f>Q251</f>
        <v>215</v>
      </c>
      <c r="R250" s="124">
        <f>R251</f>
        <v>64.5</v>
      </c>
      <c r="T250" s="230"/>
    </row>
    <row r="251" spans="1:20" s="111" customFormat="1" ht="18.75">
      <c r="A251" s="81"/>
      <c r="B251" s="82"/>
      <c r="C251" s="92"/>
      <c r="D251" s="89"/>
      <c r="E251" s="93"/>
      <c r="F251" s="93"/>
      <c r="G251" s="94">
        <v>611</v>
      </c>
      <c r="H251" s="2" t="s">
        <v>277</v>
      </c>
      <c r="I251" s="7">
        <v>668</v>
      </c>
      <c r="J251" s="12">
        <v>5</v>
      </c>
      <c r="K251" s="12">
        <v>2</v>
      </c>
      <c r="L251" s="46" t="s">
        <v>551</v>
      </c>
      <c r="M251" s="47" t="s">
        <v>222</v>
      </c>
      <c r="N251" s="47" t="s">
        <v>234</v>
      </c>
      <c r="O251" s="47" t="s">
        <v>554</v>
      </c>
      <c r="P251" s="7">
        <v>240</v>
      </c>
      <c r="Q251" s="124">
        <f>518-303</f>
        <v>215</v>
      </c>
      <c r="R251" s="124">
        <v>64.5</v>
      </c>
      <c r="S251" s="283"/>
      <c r="T251" s="230"/>
    </row>
    <row r="252" spans="1:20" s="111" customFormat="1" ht="18.75" hidden="1">
      <c r="A252" s="81"/>
      <c r="B252" s="82"/>
      <c r="C252" s="92"/>
      <c r="D252" s="89"/>
      <c r="E252" s="93"/>
      <c r="F252" s="93"/>
      <c r="G252" s="94"/>
      <c r="H252" s="2" t="s">
        <v>555</v>
      </c>
      <c r="I252" s="7">
        <v>668</v>
      </c>
      <c r="J252" s="12">
        <v>5</v>
      </c>
      <c r="K252" s="12">
        <v>2</v>
      </c>
      <c r="L252" s="46" t="s">
        <v>551</v>
      </c>
      <c r="M252" s="47" t="s">
        <v>222</v>
      </c>
      <c r="N252" s="47" t="s">
        <v>233</v>
      </c>
      <c r="O252" s="47" t="s">
        <v>240</v>
      </c>
      <c r="P252" s="7"/>
      <c r="Q252" s="345">
        <f>Q253</f>
        <v>0</v>
      </c>
      <c r="R252" s="124">
        <f>R253</f>
        <v>0</v>
      </c>
      <c r="S252" s="283"/>
      <c r="T252" s="230"/>
    </row>
    <row r="253" spans="1:20" ht="18.75" hidden="1">
      <c r="A253" s="48"/>
      <c r="B253" s="49"/>
      <c r="C253" s="54"/>
      <c r="D253" s="52"/>
      <c r="E253" s="64"/>
      <c r="F253" s="64"/>
      <c r="G253" s="56"/>
      <c r="H253" s="2" t="s">
        <v>556</v>
      </c>
      <c r="I253" s="7">
        <v>668</v>
      </c>
      <c r="J253" s="12">
        <v>5</v>
      </c>
      <c r="K253" s="12">
        <v>2</v>
      </c>
      <c r="L253" s="46" t="s">
        <v>551</v>
      </c>
      <c r="M253" s="47" t="s">
        <v>222</v>
      </c>
      <c r="N253" s="47" t="s">
        <v>233</v>
      </c>
      <c r="O253" s="47" t="s">
        <v>557</v>
      </c>
      <c r="P253" s="7"/>
      <c r="Q253" s="345">
        <f>Q254</f>
        <v>0</v>
      </c>
      <c r="R253" s="124">
        <f>R254</f>
        <v>0</v>
      </c>
      <c r="T253" s="230"/>
    </row>
    <row r="254" spans="1:20" ht="18.75" hidden="1">
      <c r="A254" s="48"/>
      <c r="B254" s="49"/>
      <c r="C254" s="54"/>
      <c r="D254" s="52"/>
      <c r="E254" s="64"/>
      <c r="F254" s="64"/>
      <c r="G254" s="56"/>
      <c r="H254" s="2" t="s">
        <v>277</v>
      </c>
      <c r="I254" s="7">
        <v>668</v>
      </c>
      <c r="J254" s="12">
        <v>5</v>
      </c>
      <c r="K254" s="12">
        <v>2</v>
      </c>
      <c r="L254" s="46" t="s">
        <v>551</v>
      </c>
      <c r="M254" s="47" t="s">
        <v>222</v>
      </c>
      <c r="N254" s="47" t="s">
        <v>233</v>
      </c>
      <c r="O254" s="47" t="s">
        <v>557</v>
      </c>
      <c r="P254" s="7">
        <v>240</v>
      </c>
      <c r="Q254" s="345">
        <v>0</v>
      </c>
      <c r="R254" s="124"/>
      <c r="T254" s="230"/>
    </row>
    <row r="255" spans="1:20" ht="18.75">
      <c r="A255" s="48"/>
      <c r="B255" s="49"/>
      <c r="C255" s="54"/>
      <c r="D255" s="52"/>
      <c r="E255" s="64"/>
      <c r="F255" s="64"/>
      <c r="G255" s="56"/>
      <c r="H255" s="2" t="s">
        <v>558</v>
      </c>
      <c r="I255" s="7">
        <v>668</v>
      </c>
      <c r="J255" s="12">
        <v>5</v>
      </c>
      <c r="K255" s="12">
        <v>2</v>
      </c>
      <c r="L255" s="46" t="s">
        <v>551</v>
      </c>
      <c r="M255" s="47" t="s">
        <v>222</v>
      </c>
      <c r="N255" s="47" t="s">
        <v>225</v>
      </c>
      <c r="O255" s="47" t="s">
        <v>240</v>
      </c>
      <c r="P255" s="7"/>
      <c r="Q255" s="124">
        <f>Q256</f>
        <v>515.8</v>
      </c>
      <c r="R255" s="124">
        <f>R256</f>
        <v>515.8</v>
      </c>
      <c r="T255" s="230"/>
    </row>
    <row r="256" spans="1:20" ht="18.75">
      <c r="A256" s="48"/>
      <c r="B256" s="49"/>
      <c r="C256" s="54"/>
      <c r="D256" s="52"/>
      <c r="E256" s="64"/>
      <c r="F256" s="64"/>
      <c r="G256" s="56"/>
      <c r="H256" s="2" t="s">
        <v>559</v>
      </c>
      <c r="I256" s="7">
        <v>668</v>
      </c>
      <c r="J256" s="12">
        <v>5</v>
      </c>
      <c r="K256" s="12">
        <v>2</v>
      </c>
      <c r="L256" s="46" t="s">
        <v>551</v>
      </c>
      <c r="M256" s="47" t="s">
        <v>222</v>
      </c>
      <c r="N256" s="47" t="s">
        <v>225</v>
      </c>
      <c r="O256" s="47" t="s">
        <v>560</v>
      </c>
      <c r="P256" s="7"/>
      <c r="Q256" s="124">
        <f>Q257</f>
        <v>515.8</v>
      </c>
      <c r="R256" s="124">
        <f>R257</f>
        <v>515.8</v>
      </c>
      <c r="T256" s="230"/>
    </row>
    <row r="257" spans="1:20" s="111" customFormat="1" ht="18.75">
      <c r="A257" s="81"/>
      <c r="B257" s="82"/>
      <c r="C257" s="92"/>
      <c r="D257" s="89"/>
      <c r="E257" s="93"/>
      <c r="F257" s="93"/>
      <c r="G257" s="94">
        <v>621</v>
      </c>
      <c r="H257" s="2" t="s">
        <v>277</v>
      </c>
      <c r="I257" s="7">
        <v>668</v>
      </c>
      <c r="J257" s="12">
        <v>5</v>
      </c>
      <c r="K257" s="12">
        <v>2</v>
      </c>
      <c r="L257" s="46" t="s">
        <v>551</v>
      </c>
      <c r="M257" s="47" t="s">
        <v>222</v>
      </c>
      <c r="N257" s="47" t="s">
        <v>225</v>
      </c>
      <c r="O257" s="47" t="s">
        <v>560</v>
      </c>
      <c r="P257" s="7">
        <v>240</v>
      </c>
      <c r="Q257" s="124">
        <f>900-384.2</f>
        <v>515.8</v>
      </c>
      <c r="R257" s="124">
        <v>515.8</v>
      </c>
      <c r="S257" s="283"/>
      <c r="T257" s="230"/>
    </row>
    <row r="258" spans="1:20" ht="47.25">
      <c r="A258" s="50"/>
      <c r="B258" s="49"/>
      <c r="C258" s="54"/>
      <c r="D258" s="60"/>
      <c r="E258" s="55"/>
      <c r="F258" s="55"/>
      <c r="G258" s="56">
        <v>622</v>
      </c>
      <c r="H258" s="2" t="s">
        <v>561</v>
      </c>
      <c r="I258" s="7">
        <v>668</v>
      </c>
      <c r="J258" s="12">
        <v>5</v>
      </c>
      <c r="K258" s="12">
        <v>2</v>
      </c>
      <c r="L258" s="46" t="s">
        <v>551</v>
      </c>
      <c r="M258" s="47" t="s">
        <v>222</v>
      </c>
      <c r="N258" s="47" t="s">
        <v>519</v>
      </c>
      <c r="O258" s="47" t="s">
        <v>240</v>
      </c>
      <c r="P258" s="7"/>
      <c r="Q258" s="124">
        <f>Q259</f>
        <v>1130</v>
      </c>
      <c r="R258" s="124">
        <f>R259</f>
        <v>1130</v>
      </c>
      <c r="T258" s="230"/>
    </row>
    <row r="259" spans="1:20" ht="18.75">
      <c r="A259" s="50"/>
      <c r="B259" s="49"/>
      <c r="C259" s="57"/>
      <c r="D259" s="58"/>
      <c r="E259" s="55"/>
      <c r="F259" s="55"/>
      <c r="G259" s="56"/>
      <c r="H259" s="2" t="s">
        <v>562</v>
      </c>
      <c r="I259" s="7">
        <v>668</v>
      </c>
      <c r="J259" s="12">
        <v>5</v>
      </c>
      <c r="K259" s="12">
        <v>2</v>
      </c>
      <c r="L259" s="46" t="s">
        <v>551</v>
      </c>
      <c r="M259" s="47" t="s">
        <v>222</v>
      </c>
      <c r="N259" s="47" t="s">
        <v>519</v>
      </c>
      <c r="O259" s="47" t="s">
        <v>563</v>
      </c>
      <c r="P259" s="7"/>
      <c r="Q259" s="124">
        <f>Q260+Q261</f>
        <v>1130</v>
      </c>
      <c r="R259" s="124">
        <f>R260+R261</f>
        <v>1130</v>
      </c>
      <c r="T259" s="230"/>
    </row>
    <row r="260" spans="1:20" ht="18.75" hidden="1">
      <c r="A260" s="50"/>
      <c r="B260" s="49"/>
      <c r="C260" s="57"/>
      <c r="D260" s="58"/>
      <c r="E260" s="55"/>
      <c r="F260" s="55"/>
      <c r="G260" s="56"/>
      <c r="H260" s="2" t="s">
        <v>277</v>
      </c>
      <c r="I260" s="7">
        <v>668</v>
      </c>
      <c r="J260" s="12">
        <v>5</v>
      </c>
      <c r="K260" s="12">
        <v>2</v>
      </c>
      <c r="L260" s="46" t="s">
        <v>551</v>
      </c>
      <c r="M260" s="47" t="s">
        <v>222</v>
      </c>
      <c r="N260" s="47" t="s">
        <v>519</v>
      </c>
      <c r="O260" s="47" t="s">
        <v>563</v>
      </c>
      <c r="P260" s="7">
        <v>240</v>
      </c>
      <c r="Q260" s="345">
        <f>2400-1130-570-200-328.2-101.8-70</f>
        <v>0</v>
      </c>
      <c r="R260" s="124"/>
      <c r="T260" s="230"/>
    </row>
    <row r="261" spans="1:20" ht="31.5">
      <c r="A261" s="50"/>
      <c r="B261" s="49"/>
      <c r="C261" s="57"/>
      <c r="D261" s="58"/>
      <c r="E261" s="55"/>
      <c r="F261" s="55"/>
      <c r="G261" s="56"/>
      <c r="H261" s="2" t="s">
        <v>340</v>
      </c>
      <c r="I261" s="7">
        <v>668</v>
      </c>
      <c r="J261" s="12">
        <v>5</v>
      </c>
      <c r="K261" s="12">
        <v>2</v>
      </c>
      <c r="L261" s="46" t="s">
        <v>551</v>
      </c>
      <c r="M261" s="47" t="s">
        <v>222</v>
      </c>
      <c r="N261" s="47" t="s">
        <v>519</v>
      </c>
      <c r="O261" s="47" t="s">
        <v>563</v>
      </c>
      <c r="P261" s="3">
        <v>810</v>
      </c>
      <c r="Q261" s="124">
        <f>1130</f>
        <v>1130</v>
      </c>
      <c r="R261" s="124">
        <v>1130</v>
      </c>
      <c r="T261" s="230"/>
    </row>
    <row r="262" spans="1:20" ht="18.75">
      <c r="A262" s="50"/>
      <c r="B262" s="49"/>
      <c r="C262" s="57"/>
      <c r="D262" s="58"/>
      <c r="E262" s="55"/>
      <c r="F262" s="55"/>
      <c r="G262" s="56"/>
      <c r="H262" s="246" t="s">
        <v>564</v>
      </c>
      <c r="I262" s="7">
        <v>668</v>
      </c>
      <c r="J262" s="12">
        <v>5</v>
      </c>
      <c r="K262" s="12">
        <v>2</v>
      </c>
      <c r="L262" s="46" t="s">
        <v>551</v>
      </c>
      <c r="M262" s="47" t="s">
        <v>222</v>
      </c>
      <c r="N262" s="47" t="s">
        <v>565</v>
      </c>
      <c r="O262" s="47" t="s">
        <v>240</v>
      </c>
      <c r="P262" s="3"/>
      <c r="Q262" s="125">
        <f>Q263</f>
        <v>71</v>
      </c>
      <c r="R262" s="125">
        <f>R263</f>
        <v>71</v>
      </c>
      <c r="T262" s="230"/>
    </row>
    <row r="263" spans="1:20" ht="18.75">
      <c r="A263" s="50"/>
      <c r="B263" s="49"/>
      <c r="C263" s="57"/>
      <c r="D263" s="58"/>
      <c r="E263" s="55"/>
      <c r="F263" s="55"/>
      <c r="G263" s="56"/>
      <c r="H263" s="246" t="s">
        <v>566</v>
      </c>
      <c r="I263" s="7">
        <v>668</v>
      </c>
      <c r="J263" s="12">
        <v>5</v>
      </c>
      <c r="K263" s="12">
        <v>2</v>
      </c>
      <c r="L263" s="46" t="s">
        <v>551</v>
      </c>
      <c r="M263" s="47" t="s">
        <v>222</v>
      </c>
      <c r="N263" s="47" t="s">
        <v>565</v>
      </c>
      <c r="O263" s="47" t="s">
        <v>567</v>
      </c>
      <c r="P263" s="3"/>
      <c r="Q263" s="125">
        <f>Q265+Q264</f>
        <v>71</v>
      </c>
      <c r="R263" s="125">
        <f>R265+R264</f>
        <v>71</v>
      </c>
      <c r="T263" s="230"/>
    </row>
    <row r="264" spans="1:20" ht="18.75" hidden="1">
      <c r="A264" s="50"/>
      <c r="B264" s="49"/>
      <c r="C264" s="57"/>
      <c r="D264" s="58"/>
      <c r="E264" s="55"/>
      <c r="F264" s="55"/>
      <c r="G264" s="56"/>
      <c r="H264" s="2" t="s">
        <v>277</v>
      </c>
      <c r="I264" s="7">
        <v>668</v>
      </c>
      <c r="J264" s="12">
        <v>5</v>
      </c>
      <c r="K264" s="12">
        <v>2</v>
      </c>
      <c r="L264" s="46" t="s">
        <v>551</v>
      </c>
      <c r="M264" s="47" t="s">
        <v>222</v>
      </c>
      <c r="N264" s="47" t="s">
        <v>565</v>
      </c>
      <c r="O264" s="47" t="s">
        <v>567</v>
      </c>
      <c r="P264" s="3">
        <v>240</v>
      </c>
      <c r="Q264" s="346">
        <v>0</v>
      </c>
      <c r="R264" s="125"/>
      <c r="T264" s="230"/>
    </row>
    <row r="265" spans="1:20" ht="18.75">
      <c r="A265" s="50"/>
      <c r="B265" s="49"/>
      <c r="C265" s="57"/>
      <c r="D265" s="58"/>
      <c r="E265" s="55"/>
      <c r="F265" s="55"/>
      <c r="G265" s="56"/>
      <c r="H265" s="8" t="s">
        <v>296</v>
      </c>
      <c r="I265" s="7">
        <v>668</v>
      </c>
      <c r="J265" s="12">
        <v>5</v>
      </c>
      <c r="K265" s="12">
        <v>2</v>
      </c>
      <c r="L265" s="46" t="s">
        <v>551</v>
      </c>
      <c r="M265" s="47" t="s">
        <v>222</v>
      </c>
      <c r="N265" s="47" t="s">
        <v>565</v>
      </c>
      <c r="O265" s="47" t="s">
        <v>567</v>
      </c>
      <c r="P265" s="3">
        <v>620</v>
      </c>
      <c r="Q265" s="125">
        <f>59+12</f>
        <v>71</v>
      </c>
      <c r="R265" s="125">
        <v>71</v>
      </c>
      <c r="T265" s="230"/>
    </row>
    <row r="266" spans="1:20" ht="31.5">
      <c r="A266" s="50"/>
      <c r="B266" s="49"/>
      <c r="C266" s="57"/>
      <c r="D266" s="58"/>
      <c r="E266" s="55"/>
      <c r="F266" s="55"/>
      <c r="G266" s="56"/>
      <c r="H266" s="247" t="s">
        <v>568</v>
      </c>
      <c r="I266" s="7">
        <v>668</v>
      </c>
      <c r="J266" s="12">
        <v>5</v>
      </c>
      <c r="K266" s="12">
        <v>2</v>
      </c>
      <c r="L266" s="46" t="s">
        <v>551</v>
      </c>
      <c r="M266" s="47" t="s">
        <v>222</v>
      </c>
      <c r="N266" s="47" t="s">
        <v>544</v>
      </c>
      <c r="O266" s="47" t="s">
        <v>240</v>
      </c>
      <c r="P266" s="3"/>
      <c r="Q266" s="125">
        <f>Q267</f>
        <v>1470.5</v>
      </c>
      <c r="R266" s="125">
        <f>R267</f>
        <v>1470.5</v>
      </c>
      <c r="T266" s="230"/>
    </row>
    <row r="267" spans="1:20" ht="18.75">
      <c r="A267" s="50"/>
      <c r="B267" s="49"/>
      <c r="C267" s="57"/>
      <c r="D267" s="58"/>
      <c r="E267" s="55"/>
      <c r="F267" s="55"/>
      <c r="G267" s="56"/>
      <c r="H267" s="248" t="s">
        <v>569</v>
      </c>
      <c r="I267" s="7">
        <v>668</v>
      </c>
      <c r="J267" s="12">
        <v>5</v>
      </c>
      <c r="K267" s="12">
        <v>2</v>
      </c>
      <c r="L267" s="46" t="s">
        <v>551</v>
      </c>
      <c r="M267" s="47" t="s">
        <v>222</v>
      </c>
      <c r="N267" s="47" t="s">
        <v>544</v>
      </c>
      <c r="O267" s="47" t="s">
        <v>570</v>
      </c>
      <c r="P267" s="3"/>
      <c r="Q267" s="125">
        <f>Q270+Q269+Q268</f>
        <v>1470.5</v>
      </c>
      <c r="R267" s="125">
        <f>R270+R269+R268</f>
        <v>1470.5</v>
      </c>
      <c r="T267" s="230"/>
    </row>
    <row r="268" spans="1:20" ht="18.75">
      <c r="A268" s="48"/>
      <c r="B268" s="49"/>
      <c r="C268" s="54"/>
      <c r="D268" s="58"/>
      <c r="E268" s="55"/>
      <c r="F268" s="55"/>
      <c r="G268" s="56"/>
      <c r="H268" s="2" t="s">
        <v>277</v>
      </c>
      <c r="I268" s="7">
        <v>668</v>
      </c>
      <c r="J268" s="12">
        <v>5</v>
      </c>
      <c r="K268" s="12">
        <v>2</v>
      </c>
      <c r="L268" s="46" t="s">
        <v>551</v>
      </c>
      <c r="M268" s="47" t="s">
        <v>222</v>
      </c>
      <c r="N268" s="47" t="s">
        <v>544</v>
      </c>
      <c r="O268" s="47" t="s">
        <v>570</v>
      </c>
      <c r="P268" s="3">
        <v>240</v>
      </c>
      <c r="Q268" s="125">
        <f>150+63.3+460-18-523.3-45.4</f>
        <v>86.6</v>
      </c>
      <c r="R268" s="125">
        <v>86.6</v>
      </c>
      <c r="T268" s="230"/>
    </row>
    <row r="269" spans="1:20" ht="18.75">
      <c r="A269" s="48"/>
      <c r="B269" s="49"/>
      <c r="C269" s="54"/>
      <c r="D269" s="58"/>
      <c r="E269" s="55"/>
      <c r="F269" s="55"/>
      <c r="G269" s="56"/>
      <c r="H269" s="8" t="s">
        <v>296</v>
      </c>
      <c r="I269" s="7">
        <v>668</v>
      </c>
      <c r="J269" s="12">
        <v>5</v>
      </c>
      <c r="K269" s="12">
        <v>2</v>
      </c>
      <c r="L269" s="46" t="s">
        <v>551</v>
      </c>
      <c r="M269" s="47" t="s">
        <v>222</v>
      </c>
      <c r="N269" s="47" t="s">
        <v>544</v>
      </c>
      <c r="O269" s="47" t="s">
        <v>570</v>
      </c>
      <c r="P269" s="3">
        <v>620</v>
      </c>
      <c r="Q269" s="125">
        <f>200-18.1</f>
        <v>181.9</v>
      </c>
      <c r="R269" s="125">
        <v>181.9</v>
      </c>
      <c r="T269" s="230"/>
    </row>
    <row r="270" spans="1:20" ht="31.5">
      <c r="A270" s="50"/>
      <c r="B270" s="49"/>
      <c r="C270" s="54"/>
      <c r="D270" s="58"/>
      <c r="E270" s="55"/>
      <c r="F270" s="55"/>
      <c r="G270" s="56"/>
      <c r="H270" s="2" t="s">
        <v>340</v>
      </c>
      <c r="I270" s="7">
        <v>668</v>
      </c>
      <c r="J270" s="12">
        <v>5</v>
      </c>
      <c r="K270" s="12">
        <v>2</v>
      </c>
      <c r="L270" s="46" t="s">
        <v>551</v>
      </c>
      <c r="M270" s="47" t="s">
        <v>222</v>
      </c>
      <c r="N270" s="47" t="s">
        <v>544</v>
      </c>
      <c r="O270" s="47" t="s">
        <v>570</v>
      </c>
      <c r="P270" s="3">
        <v>810</v>
      </c>
      <c r="Q270" s="125">
        <f>328.2-111.5+559.4+425.9</f>
        <v>1202</v>
      </c>
      <c r="R270" s="125">
        <v>1202</v>
      </c>
      <c r="T270" s="230"/>
    </row>
    <row r="271" spans="1:20" ht="19.5">
      <c r="A271" s="50"/>
      <c r="B271" s="49"/>
      <c r="C271" s="54"/>
      <c r="D271" s="58"/>
      <c r="E271" s="55"/>
      <c r="F271" s="55"/>
      <c r="G271" s="56"/>
      <c r="H271" s="243" t="s">
        <v>22</v>
      </c>
      <c r="I271" s="85">
        <v>668</v>
      </c>
      <c r="J271" s="78">
        <v>5</v>
      </c>
      <c r="K271" s="78">
        <v>3</v>
      </c>
      <c r="L271" s="79"/>
      <c r="M271" s="80"/>
      <c r="N271" s="80"/>
      <c r="O271" s="80"/>
      <c r="P271" s="77"/>
      <c r="Q271" s="123">
        <f>Q272+Q287+Q280+Q276</f>
        <v>3810.5</v>
      </c>
      <c r="R271" s="123">
        <f>R272+R287+R280+R276</f>
        <v>3588</v>
      </c>
      <c r="T271" s="230"/>
    </row>
    <row r="272" spans="1:20" ht="31.5">
      <c r="A272" s="50"/>
      <c r="B272" s="49"/>
      <c r="C272" s="54"/>
      <c r="D272" s="58"/>
      <c r="E272" s="55"/>
      <c r="F272" s="55"/>
      <c r="G272" s="56"/>
      <c r="H272" s="1" t="s">
        <v>571</v>
      </c>
      <c r="I272" s="7">
        <v>668</v>
      </c>
      <c r="J272" s="12">
        <v>5</v>
      </c>
      <c r="K272" s="12">
        <v>3</v>
      </c>
      <c r="L272" s="46" t="s">
        <v>572</v>
      </c>
      <c r="M272" s="47" t="s">
        <v>222</v>
      </c>
      <c r="N272" s="47" t="s">
        <v>231</v>
      </c>
      <c r="O272" s="47" t="s">
        <v>240</v>
      </c>
      <c r="P272" s="3"/>
      <c r="Q272" s="125">
        <f aca="true" t="shared" si="7" ref="Q272:R274">Q273</f>
        <v>305.59999999999997</v>
      </c>
      <c r="R272" s="125">
        <f t="shared" si="7"/>
        <v>288.5</v>
      </c>
      <c r="T272" s="230"/>
    </row>
    <row r="273" spans="1:20" s="111" customFormat="1" ht="31.5">
      <c r="A273" s="81"/>
      <c r="B273" s="82"/>
      <c r="C273" s="96"/>
      <c r="D273" s="83"/>
      <c r="E273" s="84"/>
      <c r="F273" s="84"/>
      <c r="G273" s="94">
        <v>612</v>
      </c>
      <c r="H273" s="23" t="s">
        <v>573</v>
      </c>
      <c r="I273" s="7">
        <v>668</v>
      </c>
      <c r="J273" s="12">
        <v>5</v>
      </c>
      <c r="K273" s="12">
        <v>3</v>
      </c>
      <c r="L273" s="46" t="s">
        <v>572</v>
      </c>
      <c r="M273" s="47" t="s">
        <v>222</v>
      </c>
      <c r="N273" s="47" t="s">
        <v>325</v>
      </c>
      <c r="O273" s="47" t="s">
        <v>240</v>
      </c>
      <c r="P273" s="3"/>
      <c r="Q273" s="125">
        <f t="shared" si="7"/>
        <v>305.59999999999997</v>
      </c>
      <c r="R273" s="125">
        <f t="shared" si="7"/>
        <v>288.5</v>
      </c>
      <c r="S273" s="283"/>
      <c r="T273" s="230"/>
    </row>
    <row r="274" spans="1:20" s="111" customFormat="1" ht="18.75">
      <c r="A274" s="81"/>
      <c r="B274" s="82"/>
      <c r="C274" s="356">
        <v>703</v>
      </c>
      <c r="D274" s="357"/>
      <c r="E274" s="357"/>
      <c r="F274" s="357"/>
      <c r="G274" s="75">
        <v>612</v>
      </c>
      <c r="H274" s="23" t="s">
        <v>574</v>
      </c>
      <c r="I274" s="7">
        <v>668</v>
      </c>
      <c r="J274" s="12">
        <v>5</v>
      </c>
      <c r="K274" s="12">
        <v>3</v>
      </c>
      <c r="L274" s="46" t="s">
        <v>572</v>
      </c>
      <c r="M274" s="47" t="s">
        <v>222</v>
      </c>
      <c r="N274" s="47" t="s">
        <v>325</v>
      </c>
      <c r="O274" s="47" t="s">
        <v>326</v>
      </c>
      <c r="P274" s="7"/>
      <c r="Q274" s="124">
        <f t="shared" si="7"/>
        <v>305.59999999999997</v>
      </c>
      <c r="R274" s="124">
        <f t="shared" si="7"/>
        <v>288.5</v>
      </c>
      <c r="S274" s="283"/>
      <c r="T274" s="230"/>
    </row>
    <row r="275" spans="1:20" ht="18.75">
      <c r="A275" s="48"/>
      <c r="B275" s="49"/>
      <c r="C275" s="54"/>
      <c r="D275" s="52"/>
      <c r="E275" s="64"/>
      <c r="F275" s="64"/>
      <c r="G275" s="40"/>
      <c r="H275" s="2" t="s">
        <v>277</v>
      </c>
      <c r="I275" s="7">
        <v>668</v>
      </c>
      <c r="J275" s="12">
        <v>5</v>
      </c>
      <c r="K275" s="12">
        <v>3</v>
      </c>
      <c r="L275" s="46" t="s">
        <v>572</v>
      </c>
      <c r="M275" s="47" t="s">
        <v>222</v>
      </c>
      <c r="N275" s="47" t="s">
        <v>325</v>
      </c>
      <c r="O275" s="47" t="s">
        <v>326</v>
      </c>
      <c r="P275" s="7">
        <v>240</v>
      </c>
      <c r="Q275" s="124">
        <f>290.9+70-5.5-33.1-16.7</f>
        <v>305.59999999999997</v>
      </c>
      <c r="R275" s="124">
        <v>288.5</v>
      </c>
      <c r="T275" s="230"/>
    </row>
    <row r="276" spans="1:20" ht="31.5" hidden="1">
      <c r="A276" s="48"/>
      <c r="B276" s="49"/>
      <c r="C276" s="54"/>
      <c r="D276" s="52"/>
      <c r="E276" s="64"/>
      <c r="F276" s="64"/>
      <c r="G276" s="40"/>
      <c r="H276" s="8" t="s">
        <v>509</v>
      </c>
      <c r="I276" s="7">
        <v>668</v>
      </c>
      <c r="J276" s="12">
        <v>5</v>
      </c>
      <c r="K276" s="12">
        <v>3</v>
      </c>
      <c r="L276" s="46" t="s">
        <v>510</v>
      </c>
      <c r="M276" s="47" t="s">
        <v>222</v>
      </c>
      <c r="N276" s="47" t="s">
        <v>231</v>
      </c>
      <c r="O276" s="47" t="s">
        <v>240</v>
      </c>
      <c r="P276" s="7"/>
      <c r="Q276" s="345">
        <f aca="true" t="shared" si="8" ref="Q276:R278">Q277</f>
        <v>0</v>
      </c>
      <c r="R276" s="124">
        <f t="shared" si="8"/>
        <v>0</v>
      </c>
      <c r="T276" s="230"/>
    </row>
    <row r="277" spans="1:20" ht="31.5" hidden="1">
      <c r="A277" s="48"/>
      <c r="B277" s="49"/>
      <c r="C277" s="54"/>
      <c r="D277" s="52"/>
      <c r="E277" s="64"/>
      <c r="F277" s="64"/>
      <c r="G277" s="40"/>
      <c r="H277" s="8" t="s">
        <v>511</v>
      </c>
      <c r="I277" s="7">
        <v>668</v>
      </c>
      <c r="J277" s="12">
        <v>5</v>
      </c>
      <c r="K277" s="12">
        <v>3</v>
      </c>
      <c r="L277" s="46" t="s">
        <v>510</v>
      </c>
      <c r="M277" s="47" t="s">
        <v>222</v>
      </c>
      <c r="N277" s="47" t="s">
        <v>223</v>
      </c>
      <c r="O277" s="47" t="s">
        <v>240</v>
      </c>
      <c r="P277" s="7"/>
      <c r="Q277" s="345">
        <f t="shared" si="8"/>
        <v>0</v>
      </c>
      <c r="R277" s="124">
        <f t="shared" si="8"/>
        <v>0</v>
      </c>
      <c r="T277" s="230"/>
    </row>
    <row r="278" spans="1:20" ht="18.75" hidden="1">
      <c r="A278" s="48"/>
      <c r="B278" s="49"/>
      <c r="C278" s="54"/>
      <c r="D278" s="52"/>
      <c r="E278" s="64"/>
      <c r="F278" s="64"/>
      <c r="G278" s="40"/>
      <c r="H278" s="13" t="s">
        <v>456</v>
      </c>
      <c r="I278" s="7">
        <v>668</v>
      </c>
      <c r="J278" s="12">
        <v>5</v>
      </c>
      <c r="K278" s="12">
        <v>3</v>
      </c>
      <c r="L278" s="46" t="s">
        <v>510</v>
      </c>
      <c r="M278" s="47" t="s">
        <v>222</v>
      </c>
      <c r="N278" s="47" t="s">
        <v>223</v>
      </c>
      <c r="O278" s="47" t="s">
        <v>294</v>
      </c>
      <c r="P278" s="7"/>
      <c r="Q278" s="345">
        <f t="shared" si="8"/>
        <v>0</v>
      </c>
      <c r="R278" s="124">
        <f t="shared" si="8"/>
        <v>0</v>
      </c>
      <c r="T278" s="230"/>
    </row>
    <row r="279" spans="1:20" ht="18.75" hidden="1">
      <c r="A279" s="48"/>
      <c r="B279" s="49"/>
      <c r="C279" s="54"/>
      <c r="D279" s="52"/>
      <c r="E279" s="64"/>
      <c r="F279" s="64"/>
      <c r="G279" s="40"/>
      <c r="H279" s="2" t="s">
        <v>277</v>
      </c>
      <c r="I279" s="7">
        <v>668</v>
      </c>
      <c r="J279" s="12">
        <v>5</v>
      </c>
      <c r="K279" s="12">
        <v>3</v>
      </c>
      <c r="L279" s="46" t="s">
        <v>510</v>
      </c>
      <c r="M279" s="47" t="s">
        <v>222</v>
      </c>
      <c r="N279" s="47" t="s">
        <v>223</v>
      </c>
      <c r="O279" s="47" t="s">
        <v>294</v>
      </c>
      <c r="P279" s="7">
        <v>240</v>
      </c>
      <c r="Q279" s="345">
        <f>862.7+369.7-1232.4</f>
        <v>0</v>
      </c>
      <c r="R279" s="124"/>
      <c r="T279" s="230"/>
    </row>
    <row r="280" spans="1:20" ht="31.5">
      <c r="A280" s="48"/>
      <c r="B280" s="49"/>
      <c r="C280" s="54"/>
      <c r="D280" s="52"/>
      <c r="E280" s="64"/>
      <c r="F280" s="64"/>
      <c r="G280" s="40"/>
      <c r="H280" s="117" t="s">
        <v>575</v>
      </c>
      <c r="I280" s="7">
        <v>668</v>
      </c>
      <c r="J280" s="4">
        <v>5</v>
      </c>
      <c r="K280" s="12">
        <v>3</v>
      </c>
      <c r="L280" s="46" t="s">
        <v>576</v>
      </c>
      <c r="M280" s="47" t="s">
        <v>222</v>
      </c>
      <c r="N280" s="47" t="s">
        <v>231</v>
      </c>
      <c r="O280" s="47" t="s">
        <v>240</v>
      </c>
      <c r="P280" s="3"/>
      <c r="Q280" s="124">
        <f>Q281+Q284</f>
        <v>3054.9</v>
      </c>
      <c r="R280" s="124">
        <f>R281+R284</f>
        <v>2849.5</v>
      </c>
      <c r="T280" s="230"/>
    </row>
    <row r="281" spans="1:20" ht="31.5">
      <c r="A281" s="48"/>
      <c r="B281" s="49"/>
      <c r="C281" s="54"/>
      <c r="D281" s="52"/>
      <c r="E281" s="64"/>
      <c r="F281" s="64"/>
      <c r="G281" s="40"/>
      <c r="H281" s="117" t="s">
        <v>577</v>
      </c>
      <c r="I281" s="7">
        <v>668</v>
      </c>
      <c r="J281" s="4">
        <v>5</v>
      </c>
      <c r="K281" s="12">
        <v>3</v>
      </c>
      <c r="L281" s="46" t="s">
        <v>576</v>
      </c>
      <c r="M281" s="47" t="s">
        <v>222</v>
      </c>
      <c r="N281" s="47" t="s">
        <v>223</v>
      </c>
      <c r="O281" s="47" t="s">
        <v>240</v>
      </c>
      <c r="P281" s="3"/>
      <c r="Q281" s="124">
        <f>Q282</f>
        <v>2260</v>
      </c>
      <c r="R281" s="124">
        <f>R282</f>
        <v>2054.6</v>
      </c>
      <c r="T281" s="230"/>
    </row>
    <row r="282" spans="1:20" s="111" customFormat="1" ht="18.75">
      <c r="A282" s="81"/>
      <c r="B282" s="82"/>
      <c r="C282" s="92"/>
      <c r="D282" s="132"/>
      <c r="E282" s="102"/>
      <c r="F282" s="102"/>
      <c r="G282" s="75"/>
      <c r="H282" s="117" t="s">
        <v>578</v>
      </c>
      <c r="I282" s="7">
        <v>668</v>
      </c>
      <c r="J282" s="4">
        <v>5</v>
      </c>
      <c r="K282" s="12">
        <v>3</v>
      </c>
      <c r="L282" s="46" t="s">
        <v>576</v>
      </c>
      <c r="M282" s="47" t="s">
        <v>222</v>
      </c>
      <c r="N282" s="47" t="s">
        <v>223</v>
      </c>
      <c r="O282" s="47" t="s">
        <v>567</v>
      </c>
      <c r="P282" s="3"/>
      <c r="Q282" s="124">
        <f>Q283</f>
        <v>2260</v>
      </c>
      <c r="R282" s="124">
        <f>R283</f>
        <v>2054.6</v>
      </c>
      <c r="S282" s="283"/>
      <c r="T282" s="230"/>
    </row>
    <row r="283" spans="1:20" s="111" customFormat="1" ht="18.75">
      <c r="A283" s="81"/>
      <c r="B283" s="82"/>
      <c r="C283" s="92"/>
      <c r="D283" s="132"/>
      <c r="E283" s="102"/>
      <c r="F283" s="102"/>
      <c r="G283" s="75"/>
      <c r="H283" s="8" t="s">
        <v>296</v>
      </c>
      <c r="I283" s="7">
        <v>668</v>
      </c>
      <c r="J283" s="4">
        <v>5</v>
      </c>
      <c r="K283" s="12">
        <v>3</v>
      </c>
      <c r="L283" s="46" t="s">
        <v>576</v>
      </c>
      <c r="M283" s="47" t="s">
        <v>222</v>
      </c>
      <c r="N283" s="47" t="s">
        <v>223</v>
      </c>
      <c r="O283" s="47" t="s">
        <v>567</v>
      </c>
      <c r="P283" s="3">
        <v>620</v>
      </c>
      <c r="Q283" s="124">
        <v>2260</v>
      </c>
      <c r="R283" s="124">
        <v>2054.6</v>
      </c>
      <c r="S283" s="283"/>
      <c r="T283" s="230"/>
    </row>
    <row r="284" spans="1:20" s="111" customFormat="1" ht="18.75">
      <c r="A284" s="81"/>
      <c r="B284" s="82"/>
      <c r="C284" s="92"/>
      <c r="D284" s="132"/>
      <c r="E284" s="102"/>
      <c r="F284" s="102"/>
      <c r="G284" s="75"/>
      <c r="H284" s="117" t="s">
        <v>579</v>
      </c>
      <c r="I284" s="7">
        <v>668</v>
      </c>
      <c r="J284" s="4">
        <v>5</v>
      </c>
      <c r="K284" s="12">
        <v>3</v>
      </c>
      <c r="L284" s="46" t="s">
        <v>576</v>
      </c>
      <c r="M284" s="47" t="s">
        <v>222</v>
      </c>
      <c r="N284" s="47" t="s">
        <v>235</v>
      </c>
      <c r="O284" s="47" t="s">
        <v>240</v>
      </c>
      <c r="P284" s="3"/>
      <c r="Q284" s="124">
        <f>Q285</f>
        <v>794.9</v>
      </c>
      <c r="R284" s="124">
        <f>R285</f>
        <v>794.9</v>
      </c>
      <c r="S284" s="283"/>
      <c r="T284" s="230"/>
    </row>
    <row r="285" spans="1:20" s="111" customFormat="1" ht="18.75">
      <c r="A285" s="81"/>
      <c r="B285" s="82"/>
      <c r="C285" s="92"/>
      <c r="D285" s="132"/>
      <c r="E285" s="102"/>
      <c r="F285" s="102"/>
      <c r="G285" s="75"/>
      <c r="H285" s="117" t="s">
        <v>580</v>
      </c>
      <c r="I285" s="7">
        <v>668</v>
      </c>
      <c r="J285" s="4">
        <v>5</v>
      </c>
      <c r="K285" s="12">
        <v>3</v>
      </c>
      <c r="L285" s="46" t="s">
        <v>576</v>
      </c>
      <c r="M285" s="47" t="s">
        <v>222</v>
      </c>
      <c r="N285" s="47" t="s">
        <v>235</v>
      </c>
      <c r="O285" s="47" t="s">
        <v>581</v>
      </c>
      <c r="P285" s="3"/>
      <c r="Q285" s="124">
        <f>Q286</f>
        <v>794.9</v>
      </c>
      <c r="R285" s="124">
        <f>R286</f>
        <v>794.9</v>
      </c>
      <c r="S285" s="283"/>
      <c r="T285" s="230"/>
    </row>
    <row r="286" spans="1:20" ht="18.75">
      <c r="A286" s="48"/>
      <c r="B286" s="49"/>
      <c r="C286" s="54"/>
      <c r="D286" s="62"/>
      <c r="E286" s="65"/>
      <c r="F286" s="65"/>
      <c r="G286" s="40"/>
      <c r="H286" s="8" t="s">
        <v>277</v>
      </c>
      <c r="I286" s="7">
        <v>668</v>
      </c>
      <c r="J286" s="4">
        <v>5</v>
      </c>
      <c r="K286" s="12">
        <v>3</v>
      </c>
      <c r="L286" s="46" t="s">
        <v>576</v>
      </c>
      <c r="M286" s="47" t="s">
        <v>222</v>
      </c>
      <c r="N286" s="47" t="s">
        <v>235</v>
      </c>
      <c r="O286" s="47" t="s">
        <v>581</v>
      </c>
      <c r="P286" s="3">
        <v>240</v>
      </c>
      <c r="Q286" s="124">
        <v>794.9</v>
      </c>
      <c r="R286" s="124">
        <v>794.9</v>
      </c>
      <c r="T286" s="230"/>
    </row>
    <row r="287" spans="1:20" ht="31.5">
      <c r="A287" s="48"/>
      <c r="B287" s="49"/>
      <c r="C287" s="54"/>
      <c r="D287" s="62"/>
      <c r="E287" s="65"/>
      <c r="F287" s="65"/>
      <c r="G287" s="40"/>
      <c r="H287" s="2" t="s">
        <v>582</v>
      </c>
      <c r="I287" s="7">
        <v>668</v>
      </c>
      <c r="J287" s="12">
        <v>5</v>
      </c>
      <c r="K287" s="12">
        <v>3</v>
      </c>
      <c r="L287" s="46" t="s">
        <v>583</v>
      </c>
      <c r="M287" s="47" t="s">
        <v>222</v>
      </c>
      <c r="N287" s="47" t="s">
        <v>231</v>
      </c>
      <c r="O287" s="47" t="s">
        <v>240</v>
      </c>
      <c r="P287" s="7"/>
      <c r="Q287" s="124">
        <f aca="true" t="shared" si="9" ref="Q287:R289">Q288</f>
        <v>450</v>
      </c>
      <c r="R287" s="124">
        <f t="shared" si="9"/>
        <v>450</v>
      </c>
      <c r="T287" s="230"/>
    </row>
    <row r="288" spans="1:20" s="111" customFormat="1" ht="18.75">
      <c r="A288" s="81"/>
      <c r="B288" s="82"/>
      <c r="C288" s="356">
        <v>704</v>
      </c>
      <c r="D288" s="357"/>
      <c r="E288" s="357"/>
      <c r="F288" s="357"/>
      <c r="G288" s="75">
        <v>622</v>
      </c>
      <c r="H288" s="2" t="s">
        <v>584</v>
      </c>
      <c r="I288" s="7">
        <v>668</v>
      </c>
      <c r="J288" s="12">
        <v>5</v>
      </c>
      <c r="K288" s="12">
        <v>3</v>
      </c>
      <c r="L288" s="46" t="s">
        <v>583</v>
      </c>
      <c r="M288" s="47" t="s">
        <v>222</v>
      </c>
      <c r="N288" s="47" t="s">
        <v>234</v>
      </c>
      <c r="O288" s="47" t="s">
        <v>240</v>
      </c>
      <c r="P288" s="7"/>
      <c r="Q288" s="124">
        <f t="shared" si="9"/>
        <v>450</v>
      </c>
      <c r="R288" s="124">
        <f t="shared" si="9"/>
        <v>450</v>
      </c>
      <c r="S288" s="283"/>
      <c r="T288" s="230"/>
    </row>
    <row r="289" spans="1:20" ht="18.75">
      <c r="A289" s="50"/>
      <c r="B289" s="49"/>
      <c r="C289" s="48"/>
      <c r="D289" s="45"/>
      <c r="E289" s="45"/>
      <c r="F289" s="45"/>
      <c r="G289" s="40"/>
      <c r="H289" s="2" t="s">
        <v>585</v>
      </c>
      <c r="I289" s="7">
        <v>668</v>
      </c>
      <c r="J289" s="12">
        <v>5</v>
      </c>
      <c r="K289" s="12">
        <v>3</v>
      </c>
      <c r="L289" s="46" t="s">
        <v>583</v>
      </c>
      <c r="M289" s="47" t="s">
        <v>222</v>
      </c>
      <c r="N289" s="47" t="s">
        <v>234</v>
      </c>
      <c r="O289" s="47" t="s">
        <v>586</v>
      </c>
      <c r="P289" s="7"/>
      <c r="Q289" s="124">
        <f t="shared" si="9"/>
        <v>450</v>
      </c>
      <c r="R289" s="124">
        <f t="shared" si="9"/>
        <v>450</v>
      </c>
      <c r="T289" s="230"/>
    </row>
    <row r="290" spans="1:20" ht="18.75">
      <c r="A290" s="50"/>
      <c r="B290" s="49"/>
      <c r="C290" s="48"/>
      <c r="D290" s="352">
        <v>4270000</v>
      </c>
      <c r="E290" s="352"/>
      <c r="F290" s="352"/>
      <c r="G290" s="40">
        <v>622</v>
      </c>
      <c r="H290" s="69" t="s">
        <v>277</v>
      </c>
      <c r="I290" s="7">
        <v>668</v>
      </c>
      <c r="J290" s="12">
        <v>5</v>
      </c>
      <c r="K290" s="12">
        <v>3</v>
      </c>
      <c r="L290" s="46" t="s">
        <v>583</v>
      </c>
      <c r="M290" s="47" t="s">
        <v>222</v>
      </c>
      <c r="N290" s="47" t="s">
        <v>234</v>
      </c>
      <c r="O290" s="47" t="s">
        <v>586</v>
      </c>
      <c r="P290" s="7">
        <v>240</v>
      </c>
      <c r="Q290" s="124">
        <f>300+150</f>
        <v>450</v>
      </c>
      <c r="R290" s="124">
        <v>450</v>
      </c>
      <c r="T290" s="230"/>
    </row>
    <row r="291" spans="1:20" ht="19.5">
      <c r="A291" s="50"/>
      <c r="B291" s="49"/>
      <c r="C291" s="48"/>
      <c r="D291" s="52"/>
      <c r="E291" s="66"/>
      <c r="F291" s="66"/>
      <c r="G291" s="40"/>
      <c r="H291" s="249" t="s">
        <v>242</v>
      </c>
      <c r="I291" s="77">
        <v>668</v>
      </c>
      <c r="J291" s="78">
        <v>5</v>
      </c>
      <c r="K291" s="78">
        <v>5</v>
      </c>
      <c r="L291" s="79"/>
      <c r="M291" s="80"/>
      <c r="N291" s="80"/>
      <c r="O291" s="80"/>
      <c r="P291" s="77"/>
      <c r="Q291" s="123">
        <f>Q292+Q296</f>
        <v>388</v>
      </c>
      <c r="R291" s="123">
        <f>R292+R296</f>
        <v>368.9</v>
      </c>
      <c r="T291" s="230"/>
    </row>
    <row r="292" spans="1:20" ht="31.5">
      <c r="A292" s="50"/>
      <c r="B292" s="49"/>
      <c r="C292" s="48"/>
      <c r="D292" s="52"/>
      <c r="E292" s="66"/>
      <c r="F292" s="66"/>
      <c r="G292" s="40"/>
      <c r="H292" s="8" t="s">
        <v>509</v>
      </c>
      <c r="I292" s="7">
        <v>668</v>
      </c>
      <c r="J292" s="12">
        <v>5</v>
      </c>
      <c r="K292" s="12">
        <v>5</v>
      </c>
      <c r="L292" s="46" t="s">
        <v>510</v>
      </c>
      <c r="M292" s="47" t="s">
        <v>222</v>
      </c>
      <c r="N292" s="47" t="s">
        <v>231</v>
      </c>
      <c r="O292" s="47" t="s">
        <v>240</v>
      </c>
      <c r="P292" s="7"/>
      <c r="Q292" s="124">
        <f aca="true" t="shared" si="10" ref="Q292:R294">Q293</f>
        <v>360</v>
      </c>
      <c r="R292" s="124">
        <f t="shared" si="10"/>
        <v>340.9</v>
      </c>
      <c r="T292" s="230"/>
    </row>
    <row r="293" spans="1:20" ht="31.5">
      <c r="A293" s="50"/>
      <c r="B293" s="49"/>
      <c r="C293" s="48"/>
      <c r="D293" s="52"/>
      <c r="E293" s="66"/>
      <c r="F293" s="66"/>
      <c r="G293" s="40"/>
      <c r="H293" s="8" t="s">
        <v>511</v>
      </c>
      <c r="I293" s="7">
        <v>668</v>
      </c>
      <c r="J293" s="12">
        <v>5</v>
      </c>
      <c r="K293" s="12">
        <v>5</v>
      </c>
      <c r="L293" s="46" t="s">
        <v>510</v>
      </c>
      <c r="M293" s="47" t="s">
        <v>222</v>
      </c>
      <c r="N293" s="47" t="s">
        <v>223</v>
      </c>
      <c r="O293" s="47" t="s">
        <v>240</v>
      </c>
      <c r="P293" s="7"/>
      <c r="Q293" s="124">
        <f t="shared" si="10"/>
        <v>360</v>
      </c>
      <c r="R293" s="124">
        <f t="shared" si="10"/>
        <v>340.9</v>
      </c>
      <c r="T293" s="230"/>
    </row>
    <row r="294" spans="1:20" ht="18.75">
      <c r="A294" s="50"/>
      <c r="B294" s="49"/>
      <c r="C294" s="48"/>
      <c r="D294" s="52"/>
      <c r="E294" s="66"/>
      <c r="F294" s="66"/>
      <c r="G294" s="40"/>
      <c r="H294" s="1" t="s">
        <v>548</v>
      </c>
      <c r="I294" s="7">
        <v>668</v>
      </c>
      <c r="J294" s="12">
        <v>5</v>
      </c>
      <c r="K294" s="12">
        <v>5</v>
      </c>
      <c r="L294" s="46" t="s">
        <v>510</v>
      </c>
      <c r="M294" s="47" t="s">
        <v>222</v>
      </c>
      <c r="N294" s="47" t="s">
        <v>223</v>
      </c>
      <c r="O294" s="47" t="s">
        <v>73</v>
      </c>
      <c r="P294" s="7"/>
      <c r="Q294" s="124">
        <f t="shared" si="10"/>
        <v>360</v>
      </c>
      <c r="R294" s="124">
        <f t="shared" si="10"/>
        <v>340.9</v>
      </c>
      <c r="T294" s="230"/>
    </row>
    <row r="295" spans="1:20" ht="18.75">
      <c r="A295" s="50"/>
      <c r="B295" s="49"/>
      <c r="C295" s="48"/>
      <c r="D295" s="52"/>
      <c r="E295" s="66"/>
      <c r="F295" s="66"/>
      <c r="G295" s="40"/>
      <c r="H295" s="2" t="s">
        <v>277</v>
      </c>
      <c r="I295" s="7">
        <v>668</v>
      </c>
      <c r="J295" s="12">
        <v>5</v>
      </c>
      <c r="K295" s="12">
        <v>5</v>
      </c>
      <c r="L295" s="46" t="s">
        <v>510</v>
      </c>
      <c r="M295" s="47" t="s">
        <v>222</v>
      </c>
      <c r="N295" s="47" t="s">
        <v>223</v>
      </c>
      <c r="O295" s="47" t="s">
        <v>73</v>
      </c>
      <c r="P295" s="7">
        <v>240</v>
      </c>
      <c r="Q295" s="124">
        <v>360</v>
      </c>
      <c r="R295" s="124">
        <v>340.9</v>
      </c>
      <c r="T295" s="230"/>
    </row>
    <row r="296" spans="1:20" ht="31.5">
      <c r="A296" s="50"/>
      <c r="B296" s="49"/>
      <c r="C296" s="54"/>
      <c r="D296" s="52"/>
      <c r="E296" s="64"/>
      <c r="F296" s="64"/>
      <c r="G296" s="56"/>
      <c r="H296" s="2" t="s">
        <v>550</v>
      </c>
      <c r="I296" s="7">
        <v>668</v>
      </c>
      <c r="J296" s="12">
        <v>5</v>
      </c>
      <c r="K296" s="12">
        <v>5</v>
      </c>
      <c r="L296" s="46" t="s">
        <v>551</v>
      </c>
      <c r="M296" s="47" t="s">
        <v>222</v>
      </c>
      <c r="N296" s="47" t="s">
        <v>231</v>
      </c>
      <c r="O296" s="47" t="s">
        <v>240</v>
      </c>
      <c r="P296" s="7"/>
      <c r="Q296" s="124">
        <f>Q297</f>
        <v>28</v>
      </c>
      <c r="R296" s="124">
        <f>R297</f>
        <v>28</v>
      </c>
      <c r="T296" s="230"/>
    </row>
    <row r="297" spans="1:20" ht="47.25">
      <c r="A297" s="50"/>
      <c r="B297" s="49"/>
      <c r="C297" s="54"/>
      <c r="D297" s="52"/>
      <c r="E297" s="64"/>
      <c r="F297" s="64"/>
      <c r="G297" s="56"/>
      <c r="H297" s="2" t="s">
        <v>587</v>
      </c>
      <c r="I297" s="7">
        <v>668</v>
      </c>
      <c r="J297" s="12">
        <v>5</v>
      </c>
      <c r="K297" s="12">
        <v>5</v>
      </c>
      <c r="L297" s="46" t="s">
        <v>551</v>
      </c>
      <c r="M297" s="47" t="s">
        <v>222</v>
      </c>
      <c r="N297" s="47" t="s">
        <v>223</v>
      </c>
      <c r="O297" s="47" t="s">
        <v>240</v>
      </c>
      <c r="P297" s="7"/>
      <c r="Q297" s="124">
        <f>Q298</f>
        <v>28</v>
      </c>
      <c r="R297" s="124">
        <f>R298</f>
        <v>28</v>
      </c>
      <c r="T297" s="230"/>
    </row>
    <row r="298" spans="1:20" ht="31.5">
      <c r="A298" s="50"/>
      <c r="B298" s="49"/>
      <c r="C298" s="54"/>
      <c r="D298" s="52"/>
      <c r="E298" s="64"/>
      <c r="F298" s="64"/>
      <c r="G298" s="56"/>
      <c r="H298" s="2" t="s">
        <v>588</v>
      </c>
      <c r="I298" s="7">
        <v>668</v>
      </c>
      <c r="J298" s="12">
        <v>5</v>
      </c>
      <c r="K298" s="12">
        <v>5</v>
      </c>
      <c r="L298" s="46" t="s">
        <v>551</v>
      </c>
      <c r="M298" s="47" t="s">
        <v>222</v>
      </c>
      <c r="N298" s="47" t="s">
        <v>223</v>
      </c>
      <c r="O298" s="47" t="s">
        <v>10</v>
      </c>
      <c r="P298" s="7"/>
      <c r="Q298" s="124">
        <f>Q300+Q299</f>
        <v>28</v>
      </c>
      <c r="R298" s="124">
        <f>R300+R299</f>
        <v>28</v>
      </c>
      <c r="T298" s="230"/>
    </row>
    <row r="299" spans="1:20" ht="18.75">
      <c r="A299" s="50"/>
      <c r="B299" s="49"/>
      <c r="C299" s="54"/>
      <c r="D299" s="52"/>
      <c r="E299" s="64"/>
      <c r="F299" s="64"/>
      <c r="G299" s="56"/>
      <c r="H299" s="2" t="s">
        <v>277</v>
      </c>
      <c r="I299" s="7">
        <v>668</v>
      </c>
      <c r="J299" s="12">
        <v>5</v>
      </c>
      <c r="K299" s="12">
        <v>5</v>
      </c>
      <c r="L299" s="46" t="s">
        <v>551</v>
      </c>
      <c r="M299" s="47" t="s">
        <v>222</v>
      </c>
      <c r="N299" s="47" t="s">
        <v>223</v>
      </c>
      <c r="O299" s="47" t="s">
        <v>10</v>
      </c>
      <c r="P299" s="7">
        <v>240</v>
      </c>
      <c r="Q299" s="124">
        <v>24.2</v>
      </c>
      <c r="R299" s="124">
        <v>24.2</v>
      </c>
      <c r="T299" s="230"/>
    </row>
    <row r="300" spans="1:20" ht="18.75">
      <c r="A300" s="50"/>
      <c r="B300" s="49"/>
      <c r="C300" s="54"/>
      <c r="D300" s="52"/>
      <c r="E300" s="64"/>
      <c r="F300" s="64"/>
      <c r="G300" s="56"/>
      <c r="H300" s="2" t="s">
        <v>278</v>
      </c>
      <c r="I300" s="7">
        <v>668</v>
      </c>
      <c r="J300" s="12">
        <v>5</v>
      </c>
      <c r="K300" s="12">
        <v>5</v>
      </c>
      <c r="L300" s="46" t="s">
        <v>551</v>
      </c>
      <c r="M300" s="47" t="s">
        <v>222</v>
      </c>
      <c r="N300" s="47" t="s">
        <v>223</v>
      </c>
      <c r="O300" s="47" t="s">
        <v>10</v>
      </c>
      <c r="P300" s="7">
        <v>850</v>
      </c>
      <c r="Q300" s="124">
        <v>3.8</v>
      </c>
      <c r="R300" s="124">
        <v>3.8</v>
      </c>
      <c r="T300" s="230"/>
    </row>
    <row r="301" spans="1:20" ht="19.5">
      <c r="A301" s="50"/>
      <c r="B301" s="49"/>
      <c r="C301" s="54"/>
      <c r="D301" s="52"/>
      <c r="E301" s="64"/>
      <c r="F301" s="64"/>
      <c r="G301" s="56"/>
      <c r="H301" s="231" t="s">
        <v>589</v>
      </c>
      <c r="I301" s="77">
        <v>668</v>
      </c>
      <c r="J301" s="78">
        <v>6</v>
      </c>
      <c r="K301" s="78" t="s">
        <v>241</v>
      </c>
      <c r="L301" s="79"/>
      <c r="M301" s="80"/>
      <c r="N301" s="80"/>
      <c r="O301" s="80"/>
      <c r="P301" s="77"/>
      <c r="Q301" s="123">
        <f>Q302+Q309+Q314</f>
        <v>9278.699999999999</v>
      </c>
      <c r="R301" s="123">
        <f>R302+R309+R314</f>
        <v>867.6999999999999</v>
      </c>
      <c r="T301" s="230"/>
    </row>
    <row r="302" spans="1:20" ht="19.5">
      <c r="A302" s="50"/>
      <c r="B302" s="49"/>
      <c r="C302" s="54"/>
      <c r="D302" s="52"/>
      <c r="E302" s="64"/>
      <c r="F302" s="64"/>
      <c r="G302" s="56"/>
      <c r="H302" s="250" t="s">
        <v>590</v>
      </c>
      <c r="I302" s="77">
        <v>668</v>
      </c>
      <c r="J302" s="78">
        <v>6</v>
      </c>
      <c r="K302" s="78">
        <v>2</v>
      </c>
      <c r="L302" s="79"/>
      <c r="M302" s="80"/>
      <c r="N302" s="80"/>
      <c r="O302" s="80"/>
      <c r="P302" s="77"/>
      <c r="Q302" s="123">
        <f>Q306+Q308</f>
        <v>8411</v>
      </c>
      <c r="R302" s="123">
        <f>R306+R308</f>
        <v>0</v>
      </c>
      <c r="T302" s="230"/>
    </row>
    <row r="303" spans="1:20" s="111" customFormat="1" ht="31.5">
      <c r="A303" s="81"/>
      <c r="B303" s="82"/>
      <c r="C303" s="81"/>
      <c r="D303" s="349">
        <v>10000</v>
      </c>
      <c r="E303" s="350"/>
      <c r="F303" s="350"/>
      <c r="G303" s="75">
        <v>240</v>
      </c>
      <c r="H303" s="251" t="s">
        <v>591</v>
      </c>
      <c r="I303" s="7">
        <v>668</v>
      </c>
      <c r="J303" s="12">
        <v>6</v>
      </c>
      <c r="K303" s="12">
        <v>2</v>
      </c>
      <c r="L303" s="46" t="s">
        <v>236</v>
      </c>
      <c r="M303" s="47" t="s">
        <v>222</v>
      </c>
      <c r="N303" s="47" t="s">
        <v>231</v>
      </c>
      <c r="O303" s="47" t="s">
        <v>240</v>
      </c>
      <c r="P303" s="7"/>
      <c r="Q303" s="124">
        <f>Q304</f>
        <v>8411</v>
      </c>
      <c r="R303" s="124">
        <f>R304</f>
        <v>0</v>
      </c>
      <c r="S303" s="283"/>
      <c r="T303" s="230"/>
    </row>
    <row r="304" spans="1:20" s="111" customFormat="1" ht="31.5">
      <c r="A304" s="81"/>
      <c r="B304" s="82"/>
      <c r="C304" s="92"/>
      <c r="D304" s="89"/>
      <c r="E304" s="354">
        <v>15200</v>
      </c>
      <c r="F304" s="354"/>
      <c r="G304" s="75">
        <v>240</v>
      </c>
      <c r="H304" s="251" t="s">
        <v>45</v>
      </c>
      <c r="I304" s="7">
        <v>668</v>
      </c>
      <c r="J304" s="12">
        <v>6</v>
      </c>
      <c r="K304" s="12">
        <v>2</v>
      </c>
      <c r="L304" s="46" t="s">
        <v>236</v>
      </c>
      <c r="M304" s="47" t="s">
        <v>222</v>
      </c>
      <c r="N304" s="47" t="s">
        <v>234</v>
      </c>
      <c r="O304" s="47" t="s">
        <v>240</v>
      </c>
      <c r="P304" s="7"/>
      <c r="Q304" s="124">
        <f>Q306+Q308</f>
        <v>8411</v>
      </c>
      <c r="R304" s="124">
        <f>R306+R308</f>
        <v>0</v>
      </c>
      <c r="S304" s="283"/>
      <c r="T304" s="230"/>
    </row>
    <row r="305" spans="1:20" ht="18.75" hidden="1">
      <c r="A305" s="50"/>
      <c r="B305" s="49"/>
      <c r="C305" s="54"/>
      <c r="D305" s="52"/>
      <c r="E305" s="355">
        <v>20400</v>
      </c>
      <c r="F305" s="355"/>
      <c r="G305" s="40">
        <v>850</v>
      </c>
      <c r="H305" s="251" t="s">
        <v>592</v>
      </c>
      <c r="I305" s="7">
        <v>668</v>
      </c>
      <c r="J305" s="12">
        <v>6</v>
      </c>
      <c r="K305" s="12">
        <v>2</v>
      </c>
      <c r="L305" s="46" t="s">
        <v>236</v>
      </c>
      <c r="M305" s="47" t="s">
        <v>222</v>
      </c>
      <c r="N305" s="47" t="s">
        <v>234</v>
      </c>
      <c r="O305" s="47" t="s">
        <v>593</v>
      </c>
      <c r="P305" s="7"/>
      <c r="Q305" s="345">
        <f>Q306</f>
        <v>0</v>
      </c>
      <c r="R305" s="124">
        <f>R306</f>
        <v>0</v>
      </c>
      <c r="T305" s="230"/>
    </row>
    <row r="306" spans="1:20" ht="18.75" hidden="1">
      <c r="A306" s="50"/>
      <c r="B306" s="49"/>
      <c r="C306" s="54"/>
      <c r="D306" s="52"/>
      <c r="E306" s="64"/>
      <c r="F306" s="64"/>
      <c r="G306" s="56">
        <v>120</v>
      </c>
      <c r="H306" s="2" t="s">
        <v>277</v>
      </c>
      <c r="I306" s="7">
        <v>668</v>
      </c>
      <c r="J306" s="12">
        <v>6</v>
      </c>
      <c r="K306" s="12">
        <v>2</v>
      </c>
      <c r="L306" s="46" t="s">
        <v>236</v>
      </c>
      <c r="M306" s="47" t="s">
        <v>222</v>
      </c>
      <c r="N306" s="47" t="s">
        <v>234</v>
      </c>
      <c r="O306" s="47" t="s">
        <v>593</v>
      </c>
      <c r="P306" s="7">
        <v>240</v>
      </c>
      <c r="Q306" s="345">
        <v>0</v>
      </c>
      <c r="R306" s="124"/>
      <c r="T306" s="230"/>
    </row>
    <row r="307" spans="1:20" ht="18.75">
      <c r="A307" s="50"/>
      <c r="B307" s="49"/>
      <c r="C307" s="54"/>
      <c r="D307" s="52"/>
      <c r="E307" s="64"/>
      <c r="F307" s="64"/>
      <c r="G307" s="56"/>
      <c r="H307" s="8" t="s">
        <v>594</v>
      </c>
      <c r="I307" s="7">
        <v>668</v>
      </c>
      <c r="J307" s="12">
        <v>6</v>
      </c>
      <c r="K307" s="12">
        <v>2</v>
      </c>
      <c r="L307" s="46" t="s">
        <v>236</v>
      </c>
      <c r="M307" s="47" t="s">
        <v>222</v>
      </c>
      <c r="N307" s="47" t="s">
        <v>234</v>
      </c>
      <c r="O307" s="47" t="s">
        <v>449</v>
      </c>
      <c r="P307" s="7"/>
      <c r="Q307" s="124">
        <f>Q308</f>
        <v>8411</v>
      </c>
      <c r="R307" s="124">
        <f>R308</f>
        <v>0</v>
      </c>
      <c r="T307" s="230"/>
    </row>
    <row r="308" spans="1:20" ht="18.75">
      <c r="A308" s="50"/>
      <c r="B308" s="49"/>
      <c r="C308" s="54"/>
      <c r="D308" s="52"/>
      <c r="E308" s="64"/>
      <c r="F308" s="64"/>
      <c r="G308" s="56"/>
      <c r="H308" s="8" t="s">
        <v>277</v>
      </c>
      <c r="I308" s="7">
        <v>668</v>
      </c>
      <c r="J308" s="12">
        <v>6</v>
      </c>
      <c r="K308" s="12">
        <v>2</v>
      </c>
      <c r="L308" s="46" t="s">
        <v>236</v>
      </c>
      <c r="M308" s="47" t="s">
        <v>222</v>
      </c>
      <c r="N308" s="47" t="s">
        <v>234</v>
      </c>
      <c r="O308" s="47" t="s">
        <v>449</v>
      </c>
      <c r="P308" s="7">
        <v>240</v>
      </c>
      <c r="Q308" s="124">
        <f>7211+1200</f>
        <v>8411</v>
      </c>
      <c r="R308" s="124">
        <v>0</v>
      </c>
      <c r="T308" s="230"/>
    </row>
    <row r="309" spans="1:20" ht="19.5">
      <c r="A309" s="50"/>
      <c r="B309" s="49"/>
      <c r="C309" s="54"/>
      <c r="D309" s="52"/>
      <c r="E309" s="64"/>
      <c r="F309" s="64"/>
      <c r="G309" s="56"/>
      <c r="H309" s="252" t="s">
        <v>218</v>
      </c>
      <c r="I309" s="77">
        <v>668</v>
      </c>
      <c r="J309" s="78">
        <v>6</v>
      </c>
      <c r="K309" s="78">
        <v>3</v>
      </c>
      <c r="L309" s="79"/>
      <c r="M309" s="80"/>
      <c r="N309" s="80"/>
      <c r="O309" s="80"/>
      <c r="P309" s="77"/>
      <c r="Q309" s="123">
        <f aca="true" t="shared" si="11" ref="Q309:R312">Q310</f>
        <v>12.9</v>
      </c>
      <c r="R309" s="123">
        <f t="shared" si="11"/>
        <v>12.9</v>
      </c>
      <c r="T309" s="230"/>
    </row>
    <row r="310" spans="1:20" ht="31.5">
      <c r="A310" s="50"/>
      <c r="B310" s="49"/>
      <c r="C310" s="54"/>
      <c r="D310" s="52"/>
      <c r="E310" s="64"/>
      <c r="F310" s="64"/>
      <c r="G310" s="56"/>
      <c r="H310" s="8" t="s">
        <v>509</v>
      </c>
      <c r="I310" s="7">
        <v>668</v>
      </c>
      <c r="J310" s="12">
        <v>6</v>
      </c>
      <c r="K310" s="12">
        <v>3</v>
      </c>
      <c r="L310" s="46" t="s">
        <v>510</v>
      </c>
      <c r="M310" s="47" t="s">
        <v>222</v>
      </c>
      <c r="N310" s="47" t="s">
        <v>231</v>
      </c>
      <c r="O310" s="47" t="s">
        <v>240</v>
      </c>
      <c r="P310" s="7"/>
      <c r="Q310" s="124">
        <f t="shared" si="11"/>
        <v>12.9</v>
      </c>
      <c r="R310" s="124">
        <f t="shared" si="11"/>
        <v>12.9</v>
      </c>
      <c r="T310" s="230"/>
    </row>
    <row r="311" spans="1:20" ht="31.5">
      <c r="A311" s="50"/>
      <c r="B311" s="49"/>
      <c r="C311" s="54"/>
      <c r="D311" s="52"/>
      <c r="E311" s="64"/>
      <c r="F311" s="64"/>
      <c r="G311" s="56"/>
      <c r="H311" s="1" t="s">
        <v>513</v>
      </c>
      <c r="I311" s="3">
        <v>668</v>
      </c>
      <c r="J311" s="12">
        <v>6</v>
      </c>
      <c r="K311" s="12">
        <v>3</v>
      </c>
      <c r="L311" s="46" t="s">
        <v>510</v>
      </c>
      <c r="M311" s="47" t="s">
        <v>222</v>
      </c>
      <c r="N311" s="47" t="s">
        <v>225</v>
      </c>
      <c r="O311" s="47" t="s">
        <v>240</v>
      </c>
      <c r="P311" s="7"/>
      <c r="Q311" s="124">
        <f t="shared" si="11"/>
        <v>12.9</v>
      </c>
      <c r="R311" s="124">
        <f t="shared" si="11"/>
        <v>12.9</v>
      </c>
      <c r="T311" s="230"/>
    </row>
    <row r="312" spans="1:20" ht="47.25">
      <c r="A312" s="50"/>
      <c r="B312" s="49"/>
      <c r="C312" s="54"/>
      <c r="D312" s="52"/>
      <c r="E312" s="64"/>
      <c r="F312" s="64"/>
      <c r="G312" s="56"/>
      <c r="H312" s="1" t="s">
        <v>304</v>
      </c>
      <c r="I312" s="7">
        <v>668</v>
      </c>
      <c r="J312" s="12">
        <v>6</v>
      </c>
      <c r="K312" s="12">
        <v>3</v>
      </c>
      <c r="L312" s="46" t="s">
        <v>510</v>
      </c>
      <c r="M312" s="47" t="s">
        <v>222</v>
      </c>
      <c r="N312" s="47" t="s">
        <v>225</v>
      </c>
      <c r="O312" s="47" t="s">
        <v>303</v>
      </c>
      <c r="P312" s="3"/>
      <c r="Q312" s="125">
        <f t="shared" si="11"/>
        <v>12.9</v>
      </c>
      <c r="R312" s="125">
        <f t="shared" si="11"/>
        <v>12.9</v>
      </c>
      <c r="T312" s="230"/>
    </row>
    <row r="313" spans="1:20" ht="18.75">
      <c r="A313" s="50"/>
      <c r="B313" s="49"/>
      <c r="C313" s="54"/>
      <c r="D313" s="52"/>
      <c r="E313" s="64"/>
      <c r="F313" s="64"/>
      <c r="G313" s="56"/>
      <c r="H313" s="2" t="s">
        <v>277</v>
      </c>
      <c r="I313" s="7">
        <v>668</v>
      </c>
      <c r="J313" s="12">
        <v>6</v>
      </c>
      <c r="K313" s="12">
        <v>3</v>
      </c>
      <c r="L313" s="46" t="s">
        <v>510</v>
      </c>
      <c r="M313" s="47" t="s">
        <v>222</v>
      </c>
      <c r="N313" s="47" t="s">
        <v>225</v>
      </c>
      <c r="O313" s="47" t="s">
        <v>303</v>
      </c>
      <c r="P313" s="3">
        <v>240</v>
      </c>
      <c r="Q313" s="125">
        <v>12.9</v>
      </c>
      <c r="R313" s="125">
        <v>12.9</v>
      </c>
      <c r="T313" s="230"/>
    </row>
    <row r="314" spans="1:20" ht="19.5">
      <c r="A314" s="50"/>
      <c r="B314" s="49"/>
      <c r="C314" s="54"/>
      <c r="D314" s="52"/>
      <c r="E314" s="64"/>
      <c r="F314" s="64"/>
      <c r="G314" s="56"/>
      <c r="H314" s="253" t="s">
        <v>217</v>
      </c>
      <c r="I314" s="77">
        <v>668</v>
      </c>
      <c r="J314" s="78">
        <v>6</v>
      </c>
      <c r="K314" s="78">
        <v>5</v>
      </c>
      <c r="L314" s="79"/>
      <c r="M314" s="80"/>
      <c r="N314" s="80"/>
      <c r="O314" s="80"/>
      <c r="P314" s="77"/>
      <c r="Q314" s="123">
        <f>Q319+Q323</f>
        <v>854.8</v>
      </c>
      <c r="R314" s="123">
        <f>R319+R323</f>
        <v>854.8</v>
      </c>
      <c r="T314" s="230"/>
    </row>
    <row r="315" spans="1:20" ht="31.5" hidden="1">
      <c r="A315" s="50"/>
      <c r="B315" s="49"/>
      <c r="C315" s="54"/>
      <c r="D315" s="52"/>
      <c r="E315" s="64"/>
      <c r="F315" s="64"/>
      <c r="G315" s="56"/>
      <c r="H315" s="251" t="s">
        <v>591</v>
      </c>
      <c r="I315" s="7">
        <v>668</v>
      </c>
      <c r="J315" s="12">
        <v>6</v>
      </c>
      <c r="K315" s="12">
        <v>5</v>
      </c>
      <c r="L315" s="46" t="s">
        <v>236</v>
      </c>
      <c r="M315" s="47" t="s">
        <v>222</v>
      </c>
      <c r="N315" s="47" t="s">
        <v>231</v>
      </c>
      <c r="O315" s="47" t="s">
        <v>240</v>
      </c>
      <c r="P315" s="7"/>
      <c r="Q315" s="345">
        <f aca="true" t="shared" si="12" ref="Q315:R317">Q316</f>
        <v>0</v>
      </c>
      <c r="R315" s="124">
        <f t="shared" si="12"/>
        <v>0</v>
      </c>
      <c r="T315" s="230"/>
    </row>
    <row r="316" spans="1:20" ht="31.5" hidden="1">
      <c r="A316" s="50"/>
      <c r="B316" s="49"/>
      <c r="C316" s="54"/>
      <c r="D316" s="52"/>
      <c r="E316" s="64"/>
      <c r="F316" s="64"/>
      <c r="G316" s="56"/>
      <c r="H316" s="254" t="s">
        <v>45</v>
      </c>
      <c r="I316" s="7">
        <v>668</v>
      </c>
      <c r="J316" s="12">
        <v>6</v>
      </c>
      <c r="K316" s="12">
        <v>5</v>
      </c>
      <c r="L316" s="46" t="s">
        <v>236</v>
      </c>
      <c r="M316" s="47" t="s">
        <v>222</v>
      </c>
      <c r="N316" s="47" t="s">
        <v>234</v>
      </c>
      <c r="O316" s="47" t="s">
        <v>240</v>
      </c>
      <c r="P316" s="7"/>
      <c r="Q316" s="345">
        <f t="shared" si="12"/>
        <v>0</v>
      </c>
      <c r="R316" s="124">
        <f t="shared" si="12"/>
        <v>0</v>
      </c>
      <c r="T316" s="230"/>
    </row>
    <row r="317" spans="1:20" ht="18.75" hidden="1">
      <c r="A317" s="50"/>
      <c r="B317" s="49"/>
      <c r="C317" s="54"/>
      <c r="D317" s="52"/>
      <c r="E317" s="64"/>
      <c r="F317" s="64"/>
      <c r="G317" s="56"/>
      <c r="H317" s="254" t="s">
        <v>13</v>
      </c>
      <c r="I317" s="7">
        <v>668</v>
      </c>
      <c r="J317" s="12">
        <v>6</v>
      </c>
      <c r="K317" s="12">
        <v>5</v>
      </c>
      <c r="L317" s="46" t="s">
        <v>236</v>
      </c>
      <c r="M317" s="47" t="s">
        <v>222</v>
      </c>
      <c r="N317" s="47" t="s">
        <v>234</v>
      </c>
      <c r="O317" s="47" t="s">
        <v>12</v>
      </c>
      <c r="P317" s="7"/>
      <c r="Q317" s="345">
        <f t="shared" si="12"/>
        <v>0</v>
      </c>
      <c r="R317" s="124">
        <f t="shared" si="12"/>
        <v>0</v>
      </c>
      <c r="T317" s="230"/>
    </row>
    <row r="318" spans="1:20" ht="18.75" hidden="1">
      <c r="A318" s="50"/>
      <c r="B318" s="49"/>
      <c r="C318" s="54"/>
      <c r="D318" s="52"/>
      <c r="E318" s="64"/>
      <c r="F318" s="64"/>
      <c r="G318" s="56"/>
      <c r="H318" s="2" t="s">
        <v>277</v>
      </c>
      <c r="I318" s="7">
        <v>668</v>
      </c>
      <c r="J318" s="12">
        <v>6</v>
      </c>
      <c r="K318" s="12">
        <v>5</v>
      </c>
      <c r="L318" s="46" t="s">
        <v>236</v>
      </c>
      <c r="M318" s="47" t="s">
        <v>222</v>
      </c>
      <c r="N318" s="47" t="s">
        <v>234</v>
      </c>
      <c r="O318" s="47" t="s">
        <v>12</v>
      </c>
      <c r="P318" s="7">
        <v>240</v>
      </c>
      <c r="Q318" s="345">
        <v>0</v>
      </c>
      <c r="R318" s="124"/>
      <c r="T318" s="230"/>
    </row>
    <row r="319" spans="1:20" ht="31.5">
      <c r="A319" s="50"/>
      <c r="B319" s="49"/>
      <c r="C319" s="54"/>
      <c r="D319" s="52"/>
      <c r="E319" s="64"/>
      <c r="F319" s="64"/>
      <c r="G319" s="56"/>
      <c r="H319" s="8" t="s">
        <v>591</v>
      </c>
      <c r="I319" s="7">
        <v>668</v>
      </c>
      <c r="J319" s="12">
        <v>6</v>
      </c>
      <c r="K319" s="12">
        <v>5</v>
      </c>
      <c r="L319" s="46" t="s">
        <v>236</v>
      </c>
      <c r="M319" s="47" t="s">
        <v>222</v>
      </c>
      <c r="N319" s="47" t="s">
        <v>231</v>
      </c>
      <c r="O319" s="47" t="s">
        <v>240</v>
      </c>
      <c r="P319" s="7"/>
      <c r="Q319" s="124">
        <f aca="true" t="shared" si="13" ref="Q319:R321">Q320</f>
        <v>792.4</v>
      </c>
      <c r="R319" s="124">
        <f t="shared" si="13"/>
        <v>792.4</v>
      </c>
      <c r="T319" s="230"/>
    </row>
    <row r="320" spans="1:20" ht="31.5">
      <c r="A320" s="50"/>
      <c r="B320" s="49"/>
      <c r="C320" s="54"/>
      <c r="D320" s="52"/>
      <c r="E320" s="64"/>
      <c r="F320" s="64"/>
      <c r="G320" s="56"/>
      <c r="H320" s="8" t="s">
        <v>45</v>
      </c>
      <c r="I320" s="7">
        <v>668</v>
      </c>
      <c r="J320" s="12">
        <v>6</v>
      </c>
      <c r="K320" s="12">
        <v>5</v>
      </c>
      <c r="L320" s="46" t="s">
        <v>236</v>
      </c>
      <c r="M320" s="47" t="s">
        <v>222</v>
      </c>
      <c r="N320" s="47" t="s">
        <v>234</v>
      </c>
      <c r="O320" s="47" t="s">
        <v>240</v>
      </c>
      <c r="P320" s="7"/>
      <c r="Q320" s="124">
        <f t="shared" si="13"/>
        <v>792.4</v>
      </c>
      <c r="R320" s="124">
        <f t="shared" si="13"/>
        <v>792.4</v>
      </c>
      <c r="T320" s="230"/>
    </row>
    <row r="321" spans="1:20" ht="18.75">
      <c r="A321" s="50"/>
      <c r="B321" s="49"/>
      <c r="C321" s="54"/>
      <c r="D321" s="52"/>
      <c r="E321" s="64"/>
      <c r="F321" s="64"/>
      <c r="G321" s="56"/>
      <c r="H321" s="8" t="s">
        <v>595</v>
      </c>
      <c r="I321" s="7">
        <v>668</v>
      </c>
      <c r="J321" s="12">
        <v>6</v>
      </c>
      <c r="K321" s="12">
        <v>5</v>
      </c>
      <c r="L321" s="46" t="s">
        <v>236</v>
      </c>
      <c r="M321" s="47" t="s">
        <v>222</v>
      </c>
      <c r="N321" s="47" t="s">
        <v>234</v>
      </c>
      <c r="O321" s="47" t="s">
        <v>12</v>
      </c>
      <c r="P321" s="7"/>
      <c r="Q321" s="124">
        <f t="shared" si="13"/>
        <v>792.4</v>
      </c>
      <c r="R321" s="124">
        <f t="shared" si="13"/>
        <v>792.4</v>
      </c>
      <c r="T321" s="230"/>
    </row>
    <row r="322" spans="1:20" ht="18.75">
      <c r="A322" s="50"/>
      <c r="B322" s="49"/>
      <c r="C322" s="54"/>
      <c r="D322" s="52"/>
      <c r="E322" s="64"/>
      <c r="F322" s="64"/>
      <c r="G322" s="56"/>
      <c r="H322" s="2" t="s">
        <v>277</v>
      </c>
      <c r="I322" s="7">
        <v>668</v>
      </c>
      <c r="J322" s="12">
        <v>6</v>
      </c>
      <c r="K322" s="12">
        <v>5</v>
      </c>
      <c r="L322" s="46" t="s">
        <v>236</v>
      </c>
      <c r="M322" s="47" t="s">
        <v>222</v>
      </c>
      <c r="N322" s="47" t="s">
        <v>234</v>
      </c>
      <c r="O322" s="47" t="s">
        <v>12</v>
      </c>
      <c r="P322" s="7">
        <v>240</v>
      </c>
      <c r="Q322" s="124">
        <f>700+175.5-83.1</f>
        <v>792.4</v>
      </c>
      <c r="R322" s="124">
        <v>792.4</v>
      </c>
      <c r="T322" s="230"/>
    </row>
    <row r="323" spans="1:20" ht="31.5">
      <c r="A323" s="50"/>
      <c r="B323" s="49"/>
      <c r="C323" s="54"/>
      <c r="D323" s="52"/>
      <c r="E323" s="64"/>
      <c r="F323" s="64"/>
      <c r="G323" s="56"/>
      <c r="H323" s="8" t="s">
        <v>509</v>
      </c>
      <c r="I323" s="7">
        <v>668</v>
      </c>
      <c r="J323" s="12">
        <v>6</v>
      </c>
      <c r="K323" s="12">
        <v>5</v>
      </c>
      <c r="L323" s="46" t="s">
        <v>510</v>
      </c>
      <c r="M323" s="47" t="s">
        <v>222</v>
      </c>
      <c r="N323" s="47" t="s">
        <v>231</v>
      </c>
      <c r="O323" s="47" t="s">
        <v>240</v>
      </c>
      <c r="P323" s="7"/>
      <c r="Q323" s="124">
        <f>Q324</f>
        <v>62.400000000000006</v>
      </c>
      <c r="R323" s="124">
        <f>R324</f>
        <v>62.400000000000006</v>
      </c>
      <c r="T323" s="230"/>
    </row>
    <row r="324" spans="1:20" ht="31.5">
      <c r="A324" s="50"/>
      <c r="B324" s="49"/>
      <c r="C324" s="54"/>
      <c r="D324" s="52"/>
      <c r="E324" s="64"/>
      <c r="F324" s="64"/>
      <c r="G324" s="56"/>
      <c r="H324" s="1" t="s">
        <v>513</v>
      </c>
      <c r="I324" s="7">
        <v>668</v>
      </c>
      <c r="J324" s="12">
        <v>6</v>
      </c>
      <c r="K324" s="12">
        <v>5</v>
      </c>
      <c r="L324" s="46" t="s">
        <v>510</v>
      </c>
      <c r="M324" s="47" t="s">
        <v>222</v>
      </c>
      <c r="N324" s="47" t="s">
        <v>225</v>
      </c>
      <c r="O324" s="47" t="s">
        <v>240</v>
      </c>
      <c r="P324" s="7"/>
      <c r="Q324" s="124">
        <f>Q325</f>
        <v>62.400000000000006</v>
      </c>
      <c r="R324" s="124">
        <f>R325</f>
        <v>62.400000000000006</v>
      </c>
      <c r="T324" s="230"/>
    </row>
    <row r="325" spans="1:20" ht="18.75">
      <c r="A325" s="50"/>
      <c r="B325" s="49"/>
      <c r="C325" s="54"/>
      <c r="D325" s="52"/>
      <c r="E325" s="64"/>
      <c r="F325" s="64"/>
      <c r="G325" s="56"/>
      <c r="H325" s="107" t="s">
        <v>322</v>
      </c>
      <c r="I325" s="7">
        <v>668</v>
      </c>
      <c r="J325" s="12">
        <v>6</v>
      </c>
      <c r="K325" s="12">
        <v>5</v>
      </c>
      <c r="L325" s="46" t="s">
        <v>510</v>
      </c>
      <c r="M325" s="47" t="s">
        <v>222</v>
      </c>
      <c r="N325" s="47" t="s">
        <v>225</v>
      </c>
      <c r="O325" s="47" t="s">
        <v>321</v>
      </c>
      <c r="P325" s="7"/>
      <c r="Q325" s="124">
        <f>Q326+Q327</f>
        <v>62.400000000000006</v>
      </c>
      <c r="R325" s="124">
        <f>R326+R327</f>
        <v>62.400000000000006</v>
      </c>
      <c r="T325" s="230"/>
    </row>
    <row r="326" spans="1:20" ht="18.75">
      <c r="A326" s="50"/>
      <c r="B326" s="49"/>
      <c r="C326" s="54"/>
      <c r="D326" s="52"/>
      <c r="E326" s="64"/>
      <c r="F326" s="64"/>
      <c r="G326" s="56"/>
      <c r="H326" s="8" t="s">
        <v>210</v>
      </c>
      <c r="I326" s="7">
        <v>668</v>
      </c>
      <c r="J326" s="12">
        <v>6</v>
      </c>
      <c r="K326" s="12">
        <v>5</v>
      </c>
      <c r="L326" s="46" t="s">
        <v>510</v>
      </c>
      <c r="M326" s="47" t="s">
        <v>222</v>
      </c>
      <c r="N326" s="47" t="s">
        <v>225</v>
      </c>
      <c r="O326" s="47" t="s">
        <v>321</v>
      </c>
      <c r="P326" s="7">
        <v>120</v>
      </c>
      <c r="Q326" s="124">
        <f>62.4-10+1.2</f>
        <v>53.6</v>
      </c>
      <c r="R326" s="124">
        <v>53.6</v>
      </c>
      <c r="T326" s="230"/>
    </row>
    <row r="327" spans="1:20" ht="18.75">
      <c r="A327" s="50"/>
      <c r="B327" s="49"/>
      <c r="C327" s="54"/>
      <c r="D327" s="58"/>
      <c r="E327" s="55"/>
      <c r="F327" s="55"/>
      <c r="G327" s="56"/>
      <c r="H327" s="2" t="s">
        <v>277</v>
      </c>
      <c r="I327" s="7">
        <v>668</v>
      </c>
      <c r="J327" s="12">
        <v>6</v>
      </c>
      <c r="K327" s="12">
        <v>5</v>
      </c>
      <c r="L327" s="46" t="s">
        <v>510</v>
      </c>
      <c r="M327" s="47" t="s">
        <v>222</v>
      </c>
      <c r="N327" s="47" t="s">
        <v>225</v>
      </c>
      <c r="O327" s="47" t="s">
        <v>321</v>
      </c>
      <c r="P327" s="7">
        <v>240</v>
      </c>
      <c r="Q327" s="124">
        <f>10-1.2</f>
        <v>8.8</v>
      </c>
      <c r="R327" s="124">
        <v>8.8</v>
      </c>
      <c r="T327" s="230"/>
    </row>
    <row r="328" spans="1:20" ht="19.5">
      <c r="A328" s="50"/>
      <c r="B328" s="49"/>
      <c r="C328" s="54"/>
      <c r="D328" s="58"/>
      <c r="E328" s="55"/>
      <c r="F328" s="55"/>
      <c r="G328" s="56"/>
      <c r="H328" s="231" t="s">
        <v>596</v>
      </c>
      <c r="I328" s="77">
        <v>668</v>
      </c>
      <c r="J328" s="78">
        <v>7</v>
      </c>
      <c r="K328" s="78" t="s">
        <v>241</v>
      </c>
      <c r="L328" s="79"/>
      <c r="M328" s="80"/>
      <c r="N328" s="80"/>
      <c r="O328" s="80"/>
      <c r="P328" s="77"/>
      <c r="Q328" s="123">
        <f>Q329+Q340</f>
        <v>10911.699999999999</v>
      </c>
      <c r="R328" s="123">
        <f>R329+R340</f>
        <v>10911.699999999999</v>
      </c>
      <c r="T328" s="230"/>
    </row>
    <row r="329" spans="1:20" ht="18.75">
      <c r="A329" s="50"/>
      <c r="B329" s="49"/>
      <c r="C329" s="54"/>
      <c r="D329" s="58"/>
      <c r="E329" s="55"/>
      <c r="F329" s="55"/>
      <c r="G329" s="56"/>
      <c r="H329" s="255" t="s">
        <v>68</v>
      </c>
      <c r="I329" s="41">
        <v>668</v>
      </c>
      <c r="J329" s="42">
        <v>7</v>
      </c>
      <c r="K329" s="42">
        <v>3</v>
      </c>
      <c r="L329" s="43"/>
      <c r="M329" s="44"/>
      <c r="N329" s="44"/>
      <c r="O329" s="44"/>
      <c r="P329" s="41"/>
      <c r="Q329" s="122">
        <f>Q334+Q330</f>
        <v>10571.699999999999</v>
      </c>
      <c r="R329" s="122">
        <f>R334+R330</f>
        <v>10571.699999999999</v>
      </c>
      <c r="T329" s="230"/>
    </row>
    <row r="330" spans="1:20" ht="31.5">
      <c r="A330" s="50"/>
      <c r="B330" s="49"/>
      <c r="C330" s="54"/>
      <c r="D330" s="60"/>
      <c r="E330" s="55"/>
      <c r="F330" s="55"/>
      <c r="G330" s="56">
        <v>850</v>
      </c>
      <c r="H330" s="240" t="s">
        <v>597</v>
      </c>
      <c r="I330" s="7">
        <v>668</v>
      </c>
      <c r="J330" s="12">
        <v>7</v>
      </c>
      <c r="K330" s="12">
        <v>3</v>
      </c>
      <c r="L330" s="46" t="s">
        <v>223</v>
      </c>
      <c r="M330" s="47" t="s">
        <v>222</v>
      </c>
      <c r="N330" s="47" t="s">
        <v>231</v>
      </c>
      <c r="O330" s="47" t="s">
        <v>240</v>
      </c>
      <c r="P330" s="7"/>
      <c r="Q330" s="124">
        <f aca="true" t="shared" si="14" ref="Q330:R332">Q331</f>
        <v>5.8</v>
      </c>
      <c r="R330" s="124">
        <f t="shared" si="14"/>
        <v>5.8</v>
      </c>
      <c r="T330" s="230"/>
    </row>
    <row r="331" spans="1:20" ht="31.5">
      <c r="A331" s="50"/>
      <c r="B331" s="49"/>
      <c r="C331" s="48"/>
      <c r="D331" s="60"/>
      <c r="E331" s="55"/>
      <c r="F331" s="55"/>
      <c r="G331" s="40"/>
      <c r="H331" s="240" t="s">
        <v>268</v>
      </c>
      <c r="I331" s="7">
        <v>668</v>
      </c>
      <c r="J331" s="12">
        <v>7</v>
      </c>
      <c r="K331" s="12">
        <v>3</v>
      </c>
      <c r="L331" s="46" t="s">
        <v>223</v>
      </c>
      <c r="M331" s="47" t="s">
        <v>222</v>
      </c>
      <c r="N331" s="47" t="s">
        <v>233</v>
      </c>
      <c r="O331" s="47" t="s">
        <v>240</v>
      </c>
      <c r="P331" s="7"/>
      <c r="Q331" s="124">
        <f t="shared" si="14"/>
        <v>5.8</v>
      </c>
      <c r="R331" s="124">
        <f t="shared" si="14"/>
        <v>5.8</v>
      </c>
      <c r="T331" s="230"/>
    </row>
    <row r="332" spans="1:20" ht="18.75">
      <c r="A332" s="50"/>
      <c r="B332" s="49"/>
      <c r="C332" s="48"/>
      <c r="D332" s="352">
        <v>4360000</v>
      </c>
      <c r="E332" s="353"/>
      <c r="F332" s="353"/>
      <c r="G332" s="40">
        <v>340</v>
      </c>
      <c r="H332" s="246" t="s">
        <v>61</v>
      </c>
      <c r="I332" s="7">
        <v>668</v>
      </c>
      <c r="J332" s="12">
        <v>7</v>
      </c>
      <c r="K332" s="12">
        <v>3</v>
      </c>
      <c r="L332" s="46" t="s">
        <v>223</v>
      </c>
      <c r="M332" s="47" t="s">
        <v>222</v>
      </c>
      <c r="N332" s="47" t="s">
        <v>233</v>
      </c>
      <c r="O332" s="47" t="s">
        <v>14</v>
      </c>
      <c r="P332" s="7"/>
      <c r="Q332" s="124">
        <f t="shared" si="14"/>
        <v>5.8</v>
      </c>
      <c r="R332" s="124">
        <f t="shared" si="14"/>
        <v>5.8</v>
      </c>
      <c r="T332" s="230"/>
    </row>
    <row r="333" spans="1:20" ht="18.75">
      <c r="A333" s="50"/>
      <c r="B333" s="49"/>
      <c r="C333" s="48"/>
      <c r="D333" s="52"/>
      <c r="E333" s="51"/>
      <c r="F333" s="51"/>
      <c r="G333" s="40"/>
      <c r="H333" s="240" t="s">
        <v>279</v>
      </c>
      <c r="I333" s="7">
        <v>668</v>
      </c>
      <c r="J333" s="12">
        <v>7</v>
      </c>
      <c r="K333" s="12">
        <v>3</v>
      </c>
      <c r="L333" s="46" t="s">
        <v>223</v>
      </c>
      <c r="M333" s="47" t="s">
        <v>222</v>
      </c>
      <c r="N333" s="47" t="s">
        <v>233</v>
      </c>
      <c r="O333" s="47" t="s">
        <v>14</v>
      </c>
      <c r="P333" s="7">
        <v>610</v>
      </c>
      <c r="Q333" s="124">
        <v>5.8</v>
      </c>
      <c r="R333" s="124">
        <v>5.8</v>
      </c>
      <c r="T333" s="230"/>
    </row>
    <row r="334" spans="1:20" ht="18.75">
      <c r="A334" s="50"/>
      <c r="B334" s="49"/>
      <c r="C334" s="48"/>
      <c r="D334" s="52"/>
      <c r="E334" s="53"/>
      <c r="F334" s="53"/>
      <c r="G334" s="40"/>
      <c r="H334" s="1" t="s">
        <v>598</v>
      </c>
      <c r="I334" s="7">
        <v>668</v>
      </c>
      <c r="J334" s="12">
        <v>7</v>
      </c>
      <c r="K334" s="12">
        <v>3</v>
      </c>
      <c r="L334" s="46" t="s">
        <v>599</v>
      </c>
      <c r="M334" s="47" t="s">
        <v>222</v>
      </c>
      <c r="N334" s="47" t="s">
        <v>231</v>
      </c>
      <c r="O334" s="47" t="s">
        <v>240</v>
      </c>
      <c r="P334" s="7"/>
      <c r="Q334" s="124">
        <f>Q335</f>
        <v>10565.9</v>
      </c>
      <c r="R334" s="124">
        <f>R335</f>
        <v>10565.9</v>
      </c>
      <c r="T334" s="230"/>
    </row>
    <row r="335" spans="1:20" ht="31.5">
      <c r="A335" s="50"/>
      <c r="B335" s="49"/>
      <c r="C335" s="48"/>
      <c r="D335" s="52"/>
      <c r="E335" s="53"/>
      <c r="F335" s="53"/>
      <c r="G335" s="40"/>
      <c r="H335" s="173" t="s">
        <v>257</v>
      </c>
      <c r="I335" s="7">
        <v>668</v>
      </c>
      <c r="J335" s="12">
        <v>7</v>
      </c>
      <c r="K335" s="12">
        <v>3</v>
      </c>
      <c r="L335" s="46" t="s">
        <v>599</v>
      </c>
      <c r="M335" s="47" t="s">
        <v>222</v>
      </c>
      <c r="N335" s="47" t="s">
        <v>233</v>
      </c>
      <c r="O335" s="47" t="s">
        <v>240</v>
      </c>
      <c r="P335" s="7"/>
      <c r="Q335" s="124">
        <f>Q336+Q338</f>
        <v>10565.9</v>
      </c>
      <c r="R335" s="124">
        <f>R336+R338</f>
        <v>10565.9</v>
      </c>
      <c r="T335" s="230"/>
    </row>
    <row r="336" spans="1:20" ht="18.75">
      <c r="A336" s="50"/>
      <c r="B336" s="49"/>
      <c r="C336" s="48"/>
      <c r="D336" s="52"/>
      <c r="E336" s="53"/>
      <c r="F336" s="53"/>
      <c r="G336" s="40"/>
      <c r="H336" s="8" t="s">
        <v>61</v>
      </c>
      <c r="I336" s="7">
        <v>668</v>
      </c>
      <c r="J336" s="12">
        <v>7</v>
      </c>
      <c r="K336" s="12">
        <v>3</v>
      </c>
      <c r="L336" s="46" t="s">
        <v>599</v>
      </c>
      <c r="M336" s="47" t="s">
        <v>222</v>
      </c>
      <c r="N336" s="47" t="s">
        <v>233</v>
      </c>
      <c r="O336" s="47" t="s">
        <v>14</v>
      </c>
      <c r="P336" s="7"/>
      <c r="Q336" s="124">
        <f>Q337</f>
        <v>6711.2</v>
      </c>
      <c r="R336" s="124">
        <f>R337</f>
        <v>6711.2</v>
      </c>
      <c r="T336" s="230"/>
    </row>
    <row r="337" spans="1:20" ht="18.75">
      <c r="A337" s="50"/>
      <c r="B337" s="49"/>
      <c r="C337" s="48"/>
      <c r="D337" s="52"/>
      <c r="E337" s="53"/>
      <c r="F337" s="53"/>
      <c r="G337" s="40"/>
      <c r="H337" s="8" t="s">
        <v>279</v>
      </c>
      <c r="I337" s="3">
        <v>668</v>
      </c>
      <c r="J337" s="12">
        <v>7</v>
      </c>
      <c r="K337" s="12">
        <v>3</v>
      </c>
      <c r="L337" s="46" t="s">
        <v>599</v>
      </c>
      <c r="M337" s="47" t="s">
        <v>222</v>
      </c>
      <c r="N337" s="47" t="s">
        <v>233</v>
      </c>
      <c r="O337" s="47" t="s">
        <v>14</v>
      </c>
      <c r="P337" s="7">
        <v>610</v>
      </c>
      <c r="Q337" s="124">
        <f>6917.5-206.3</f>
        <v>6711.2</v>
      </c>
      <c r="R337" s="124">
        <v>6711.2</v>
      </c>
      <c r="T337" s="230"/>
    </row>
    <row r="338" spans="1:20" ht="31.5">
      <c r="A338" s="50"/>
      <c r="B338" s="49"/>
      <c r="C338" s="48"/>
      <c r="D338" s="52"/>
      <c r="E338" s="53"/>
      <c r="F338" s="53"/>
      <c r="G338" s="40"/>
      <c r="H338" s="1" t="s">
        <v>353</v>
      </c>
      <c r="I338" s="7">
        <v>668</v>
      </c>
      <c r="J338" s="12">
        <v>7</v>
      </c>
      <c r="K338" s="12">
        <v>3</v>
      </c>
      <c r="L338" s="46" t="s">
        <v>599</v>
      </c>
      <c r="M338" s="47" t="s">
        <v>222</v>
      </c>
      <c r="N338" s="47" t="s">
        <v>233</v>
      </c>
      <c r="O338" s="47" t="s">
        <v>352</v>
      </c>
      <c r="P338" s="7"/>
      <c r="Q338" s="124">
        <f>Q339</f>
        <v>3854.7000000000003</v>
      </c>
      <c r="R338" s="124">
        <f>R339</f>
        <v>3854.7</v>
      </c>
      <c r="T338" s="230"/>
    </row>
    <row r="339" spans="1:20" ht="18.75">
      <c r="A339" s="50"/>
      <c r="B339" s="49"/>
      <c r="C339" s="48"/>
      <c r="D339" s="52"/>
      <c r="E339" s="53"/>
      <c r="F339" s="53"/>
      <c r="G339" s="40"/>
      <c r="H339" s="8" t="s">
        <v>279</v>
      </c>
      <c r="I339" s="7">
        <v>668</v>
      </c>
      <c r="J339" s="12">
        <v>7</v>
      </c>
      <c r="K339" s="12">
        <v>3</v>
      </c>
      <c r="L339" s="46" t="s">
        <v>599</v>
      </c>
      <c r="M339" s="47" t="s">
        <v>222</v>
      </c>
      <c r="N339" s="47" t="s">
        <v>233</v>
      </c>
      <c r="O339" s="47" t="s">
        <v>352</v>
      </c>
      <c r="P339" s="7">
        <v>610</v>
      </c>
      <c r="Q339" s="124">
        <f>3648.4+206.3</f>
        <v>3854.7000000000003</v>
      </c>
      <c r="R339" s="124">
        <v>3854.7</v>
      </c>
      <c r="T339" s="230"/>
    </row>
    <row r="340" spans="1:20" ht="19.5">
      <c r="A340" s="50"/>
      <c r="B340" s="49"/>
      <c r="C340" s="48"/>
      <c r="D340" s="52"/>
      <c r="E340" s="53"/>
      <c r="F340" s="53"/>
      <c r="G340" s="40"/>
      <c r="H340" s="231" t="s">
        <v>63</v>
      </c>
      <c r="I340" s="77">
        <v>668</v>
      </c>
      <c r="J340" s="78">
        <v>7</v>
      </c>
      <c r="K340" s="78">
        <v>7</v>
      </c>
      <c r="L340" s="79"/>
      <c r="M340" s="80"/>
      <c r="N340" s="80"/>
      <c r="O340" s="80"/>
      <c r="P340" s="77"/>
      <c r="Q340" s="123">
        <f>Q341</f>
        <v>340</v>
      </c>
      <c r="R340" s="123">
        <f>R341</f>
        <v>340</v>
      </c>
      <c r="T340" s="230"/>
    </row>
    <row r="341" spans="1:20" ht="18.75">
      <c r="A341" s="50"/>
      <c r="B341" s="49"/>
      <c r="C341" s="48"/>
      <c r="D341" s="52"/>
      <c r="E341" s="53"/>
      <c r="F341" s="53"/>
      <c r="G341" s="40"/>
      <c r="H341" s="1" t="s">
        <v>600</v>
      </c>
      <c r="I341" s="3">
        <v>668</v>
      </c>
      <c r="J341" s="12">
        <v>7</v>
      </c>
      <c r="K341" s="12">
        <v>7</v>
      </c>
      <c r="L341" s="46" t="s">
        <v>601</v>
      </c>
      <c r="M341" s="47" t="s">
        <v>222</v>
      </c>
      <c r="N341" s="47" t="s">
        <v>231</v>
      </c>
      <c r="O341" s="47" t="s">
        <v>240</v>
      </c>
      <c r="P341" s="7"/>
      <c r="Q341" s="124">
        <f>Q342+Q346+Q350</f>
        <v>340</v>
      </c>
      <c r="R341" s="124">
        <f>R342+R346+R350</f>
        <v>340</v>
      </c>
      <c r="T341" s="230"/>
    </row>
    <row r="342" spans="1:20" ht="31.5">
      <c r="A342" s="50"/>
      <c r="B342" s="49"/>
      <c r="C342" s="48"/>
      <c r="D342" s="52"/>
      <c r="E342" s="53"/>
      <c r="F342" s="53"/>
      <c r="G342" s="40"/>
      <c r="H342" s="1" t="s">
        <v>259</v>
      </c>
      <c r="I342" s="7">
        <v>668</v>
      </c>
      <c r="J342" s="12">
        <v>7</v>
      </c>
      <c r="K342" s="12">
        <v>7</v>
      </c>
      <c r="L342" s="46" t="s">
        <v>601</v>
      </c>
      <c r="M342" s="47" t="s">
        <v>222</v>
      </c>
      <c r="N342" s="47" t="s">
        <v>223</v>
      </c>
      <c r="O342" s="47" t="s">
        <v>240</v>
      </c>
      <c r="P342" s="7"/>
      <c r="Q342" s="124">
        <f>Q343</f>
        <v>180</v>
      </c>
      <c r="R342" s="124">
        <f>R343</f>
        <v>180</v>
      </c>
      <c r="T342" s="230"/>
    </row>
    <row r="343" spans="1:20" ht="18.75">
      <c r="A343" s="50"/>
      <c r="B343" s="49"/>
      <c r="C343" s="48"/>
      <c r="D343" s="52"/>
      <c r="E343" s="53"/>
      <c r="F343" s="53"/>
      <c r="G343" s="40"/>
      <c r="H343" s="173" t="s">
        <v>423</v>
      </c>
      <c r="I343" s="7">
        <v>668</v>
      </c>
      <c r="J343" s="12">
        <v>7</v>
      </c>
      <c r="K343" s="12">
        <v>7</v>
      </c>
      <c r="L343" s="46" t="s">
        <v>601</v>
      </c>
      <c r="M343" s="47" t="s">
        <v>222</v>
      </c>
      <c r="N343" s="47" t="s">
        <v>223</v>
      </c>
      <c r="O343" s="47" t="s">
        <v>422</v>
      </c>
      <c r="P343" s="7"/>
      <c r="Q343" s="124">
        <f>Q344+Q345</f>
        <v>180</v>
      </c>
      <c r="R343" s="124">
        <f>R344+R345</f>
        <v>180</v>
      </c>
      <c r="T343" s="230"/>
    </row>
    <row r="344" spans="1:20" ht="18.75" hidden="1">
      <c r="A344" s="50"/>
      <c r="B344" s="49"/>
      <c r="C344" s="48"/>
      <c r="D344" s="52"/>
      <c r="E344" s="53"/>
      <c r="F344" s="53"/>
      <c r="G344" s="40"/>
      <c r="H344" s="2" t="s">
        <v>277</v>
      </c>
      <c r="I344" s="7">
        <v>668</v>
      </c>
      <c r="J344" s="12">
        <v>7</v>
      </c>
      <c r="K344" s="12">
        <v>7</v>
      </c>
      <c r="L344" s="46" t="s">
        <v>601</v>
      </c>
      <c r="M344" s="47" t="s">
        <v>222</v>
      </c>
      <c r="N344" s="47" t="s">
        <v>223</v>
      </c>
      <c r="O344" s="47" t="s">
        <v>422</v>
      </c>
      <c r="P344" s="7">
        <v>240</v>
      </c>
      <c r="Q344" s="345">
        <v>0</v>
      </c>
      <c r="R344" s="124"/>
      <c r="T344" s="230"/>
    </row>
    <row r="345" spans="1:20" ht="18.75">
      <c r="A345" s="50"/>
      <c r="B345" s="49"/>
      <c r="C345" s="48"/>
      <c r="D345" s="52"/>
      <c r="E345" s="53"/>
      <c r="F345" s="53"/>
      <c r="G345" s="40"/>
      <c r="H345" s="8" t="s">
        <v>279</v>
      </c>
      <c r="I345" s="7">
        <v>668</v>
      </c>
      <c r="J345" s="12">
        <v>7</v>
      </c>
      <c r="K345" s="12">
        <v>7</v>
      </c>
      <c r="L345" s="46" t="s">
        <v>601</v>
      </c>
      <c r="M345" s="47" t="s">
        <v>222</v>
      </c>
      <c r="N345" s="47" t="s">
        <v>223</v>
      </c>
      <c r="O345" s="47" t="s">
        <v>422</v>
      </c>
      <c r="P345" s="7">
        <v>610</v>
      </c>
      <c r="Q345" s="124">
        <f>140+40</f>
        <v>180</v>
      </c>
      <c r="R345" s="124">
        <v>180</v>
      </c>
      <c r="T345" s="230"/>
    </row>
    <row r="346" spans="1:20" s="111" customFormat="1" ht="31.5">
      <c r="A346" s="81"/>
      <c r="B346" s="82"/>
      <c r="C346" s="92"/>
      <c r="D346" s="89"/>
      <c r="E346" s="93"/>
      <c r="F346" s="93"/>
      <c r="G346" s="94"/>
      <c r="H346" s="1" t="s">
        <v>260</v>
      </c>
      <c r="I346" s="3">
        <v>668</v>
      </c>
      <c r="J346" s="12">
        <v>7</v>
      </c>
      <c r="K346" s="12">
        <v>7</v>
      </c>
      <c r="L346" s="46" t="s">
        <v>601</v>
      </c>
      <c r="M346" s="47" t="s">
        <v>222</v>
      </c>
      <c r="N346" s="47" t="s">
        <v>234</v>
      </c>
      <c r="O346" s="47" t="s">
        <v>240</v>
      </c>
      <c r="P346" s="7"/>
      <c r="Q346" s="124">
        <f>Q347</f>
        <v>60</v>
      </c>
      <c r="R346" s="124">
        <f>R347</f>
        <v>60</v>
      </c>
      <c r="S346" s="283"/>
      <c r="T346" s="230"/>
    </row>
    <row r="347" spans="1:20" s="111" customFormat="1" ht="18.75">
      <c r="A347" s="81"/>
      <c r="B347" s="82"/>
      <c r="C347" s="92"/>
      <c r="D347" s="89"/>
      <c r="E347" s="93"/>
      <c r="F347" s="93"/>
      <c r="G347" s="94"/>
      <c r="H347" s="173" t="s">
        <v>423</v>
      </c>
      <c r="I347" s="7">
        <v>668</v>
      </c>
      <c r="J347" s="12">
        <v>7</v>
      </c>
      <c r="K347" s="12">
        <v>7</v>
      </c>
      <c r="L347" s="46" t="s">
        <v>601</v>
      </c>
      <c r="M347" s="47" t="s">
        <v>222</v>
      </c>
      <c r="N347" s="47" t="s">
        <v>234</v>
      </c>
      <c r="O347" s="47" t="s">
        <v>422</v>
      </c>
      <c r="P347" s="7"/>
      <c r="Q347" s="124">
        <f>Q348+Q349</f>
        <v>60</v>
      </c>
      <c r="R347" s="124">
        <f>R348+R349</f>
        <v>60</v>
      </c>
      <c r="S347" s="283"/>
      <c r="T347" s="230"/>
    </row>
    <row r="348" spans="1:20" ht="18.75" hidden="1">
      <c r="A348" s="48"/>
      <c r="B348" s="49"/>
      <c r="C348" s="54"/>
      <c r="D348" s="52"/>
      <c r="E348" s="64"/>
      <c r="F348" s="64"/>
      <c r="G348" s="56"/>
      <c r="H348" s="2" t="s">
        <v>277</v>
      </c>
      <c r="I348" s="7">
        <v>668</v>
      </c>
      <c r="J348" s="12">
        <v>7</v>
      </c>
      <c r="K348" s="12">
        <v>7</v>
      </c>
      <c r="L348" s="46" t="s">
        <v>601</v>
      </c>
      <c r="M348" s="47" t="s">
        <v>222</v>
      </c>
      <c r="N348" s="47" t="s">
        <v>234</v>
      </c>
      <c r="O348" s="47" t="s">
        <v>422</v>
      </c>
      <c r="P348" s="7">
        <v>240</v>
      </c>
      <c r="Q348" s="345">
        <v>0</v>
      </c>
      <c r="R348" s="124"/>
      <c r="T348" s="230"/>
    </row>
    <row r="349" spans="1:20" ht="18.75">
      <c r="A349" s="48"/>
      <c r="B349" s="49"/>
      <c r="C349" s="54"/>
      <c r="D349" s="52"/>
      <c r="E349" s="64"/>
      <c r="F349" s="64"/>
      <c r="G349" s="56"/>
      <c r="H349" s="8" t="s">
        <v>279</v>
      </c>
      <c r="I349" s="7">
        <v>668</v>
      </c>
      <c r="J349" s="12">
        <v>7</v>
      </c>
      <c r="K349" s="12">
        <v>7</v>
      </c>
      <c r="L349" s="46" t="s">
        <v>601</v>
      </c>
      <c r="M349" s="47" t="s">
        <v>222</v>
      </c>
      <c r="N349" s="47" t="s">
        <v>234</v>
      </c>
      <c r="O349" s="47" t="s">
        <v>422</v>
      </c>
      <c r="P349" s="7">
        <v>610</v>
      </c>
      <c r="Q349" s="124">
        <v>60</v>
      </c>
      <c r="R349" s="124">
        <v>60</v>
      </c>
      <c r="T349" s="230"/>
    </row>
    <row r="350" spans="1:20" ht="31.5">
      <c r="A350" s="50"/>
      <c r="B350" s="49"/>
      <c r="C350" s="54"/>
      <c r="D350" s="52"/>
      <c r="E350" s="64"/>
      <c r="F350" s="64"/>
      <c r="G350" s="56"/>
      <c r="H350" s="8" t="s">
        <v>602</v>
      </c>
      <c r="I350" s="7">
        <v>668</v>
      </c>
      <c r="J350" s="12">
        <v>7</v>
      </c>
      <c r="K350" s="12">
        <v>7</v>
      </c>
      <c r="L350" s="46" t="s">
        <v>601</v>
      </c>
      <c r="M350" s="47" t="s">
        <v>222</v>
      </c>
      <c r="N350" s="47" t="s">
        <v>235</v>
      </c>
      <c r="O350" s="47" t="s">
        <v>240</v>
      </c>
      <c r="P350" s="7"/>
      <c r="Q350" s="124">
        <f>Q351</f>
        <v>100</v>
      </c>
      <c r="R350" s="124">
        <f>R351</f>
        <v>100</v>
      </c>
      <c r="T350" s="230"/>
    </row>
    <row r="351" spans="1:20" ht="18.75">
      <c r="A351" s="50"/>
      <c r="B351" s="49"/>
      <c r="C351" s="54"/>
      <c r="D351" s="52"/>
      <c r="E351" s="64"/>
      <c r="F351" s="64"/>
      <c r="G351" s="56"/>
      <c r="H351" s="173" t="s">
        <v>423</v>
      </c>
      <c r="I351" s="3">
        <v>668</v>
      </c>
      <c r="J351" s="12">
        <v>7</v>
      </c>
      <c r="K351" s="12">
        <v>7</v>
      </c>
      <c r="L351" s="46" t="s">
        <v>601</v>
      </c>
      <c r="M351" s="47" t="s">
        <v>222</v>
      </c>
      <c r="N351" s="47" t="s">
        <v>235</v>
      </c>
      <c r="O351" s="47" t="s">
        <v>422</v>
      </c>
      <c r="P351" s="7"/>
      <c r="Q351" s="124">
        <f>Q352+Q353</f>
        <v>100</v>
      </c>
      <c r="R351" s="124">
        <f>R352+R353</f>
        <v>100</v>
      </c>
      <c r="T351" s="230"/>
    </row>
    <row r="352" spans="1:20" s="111" customFormat="1" ht="18.75" hidden="1">
      <c r="A352" s="81"/>
      <c r="B352" s="82"/>
      <c r="C352" s="92"/>
      <c r="D352" s="89"/>
      <c r="E352" s="93"/>
      <c r="F352" s="93"/>
      <c r="G352" s="94">
        <v>321</v>
      </c>
      <c r="H352" s="2" t="s">
        <v>277</v>
      </c>
      <c r="I352" s="7">
        <v>668</v>
      </c>
      <c r="J352" s="12">
        <v>7</v>
      </c>
      <c r="K352" s="12">
        <v>7</v>
      </c>
      <c r="L352" s="46" t="s">
        <v>601</v>
      </c>
      <c r="M352" s="47" t="s">
        <v>222</v>
      </c>
      <c r="N352" s="47" t="s">
        <v>235</v>
      </c>
      <c r="O352" s="47" t="s">
        <v>422</v>
      </c>
      <c r="P352" s="7">
        <v>240</v>
      </c>
      <c r="Q352" s="345">
        <v>0</v>
      </c>
      <c r="R352" s="124"/>
      <c r="S352" s="283"/>
      <c r="T352" s="230"/>
    </row>
    <row r="353" spans="1:20" s="111" customFormat="1" ht="18.75">
      <c r="A353" s="81"/>
      <c r="B353" s="82"/>
      <c r="C353" s="92"/>
      <c r="D353" s="89"/>
      <c r="E353" s="93"/>
      <c r="F353" s="93"/>
      <c r="G353" s="94">
        <v>612</v>
      </c>
      <c r="H353" s="8" t="s">
        <v>279</v>
      </c>
      <c r="I353" s="7">
        <v>668</v>
      </c>
      <c r="J353" s="12">
        <v>7</v>
      </c>
      <c r="K353" s="12">
        <v>7</v>
      </c>
      <c r="L353" s="46" t="s">
        <v>601</v>
      </c>
      <c r="M353" s="47" t="s">
        <v>222</v>
      </c>
      <c r="N353" s="47" t="s">
        <v>235</v>
      </c>
      <c r="O353" s="47" t="s">
        <v>422</v>
      </c>
      <c r="P353" s="7">
        <v>610</v>
      </c>
      <c r="Q353" s="124">
        <v>100</v>
      </c>
      <c r="R353" s="124">
        <v>100</v>
      </c>
      <c r="S353" s="283"/>
      <c r="T353" s="230"/>
    </row>
    <row r="354" spans="1:20" ht="19.5">
      <c r="A354" s="48"/>
      <c r="B354" s="49"/>
      <c r="C354" s="54"/>
      <c r="D354" s="52"/>
      <c r="E354" s="64"/>
      <c r="F354" s="64"/>
      <c r="G354" s="40"/>
      <c r="H354" s="231" t="s">
        <v>603</v>
      </c>
      <c r="I354" s="77">
        <v>668</v>
      </c>
      <c r="J354" s="78">
        <v>8</v>
      </c>
      <c r="K354" s="78" t="s">
        <v>241</v>
      </c>
      <c r="L354" s="79"/>
      <c r="M354" s="80"/>
      <c r="N354" s="80"/>
      <c r="O354" s="80"/>
      <c r="P354" s="77"/>
      <c r="Q354" s="123">
        <f>Q355</f>
        <v>40390.600000000006</v>
      </c>
      <c r="R354" s="123">
        <f>R355</f>
        <v>40390.600000000006</v>
      </c>
      <c r="T354" s="230"/>
    </row>
    <row r="355" spans="1:20" ht="19.5">
      <c r="A355" s="48"/>
      <c r="B355" s="49"/>
      <c r="C355" s="54"/>
      <c r="D355" s="52"/>
      <c r="E355" s="64"/>
      <c r="F355" s="64"/>
      <c r="G355" s="40"/>
      <c r="H355" s="231" t="s">
        <v>83</v>
      </c>
      <c r="I355" s="77">
        <v>668</v>
      </c>
      <c r="J355" s="78">
        <v>8</v>
      </c>
      <c r="K355" s="78">
        <v>1</v>
      </c>
      <c r="L355" s="79"/>
      <c r="M355" s="80"/>
      <c r="N355" s="80"/>
      <c r="O355" s="80"/>
      <c r="P355" s="77"/>
      <c r="Q355" s="123">
        <f>Q356+Q382+Q377</f>
        <v>40390.600000000006</v>
      </c>
      <c r="R355" s="123">
        <f>R356+R382+R378</f>
        <v>40390.600000000006</v>
      </c>
      <c r="T355" s="230"/>
    </row>
    <row r="356" spans="1:20" ht="18.75">
      <c r="A356" s="50"/>
      <c r="B356" s="49"/>
      <c r="C356" s="54"/>
      <c r="D356" s="52"/>
      <c r="E356" s="355">
        <v>4360400</v>
      </c>
      <c r="F356" s="355"/>
      <c r="G356" s="40">
        <v>340</v>
      </c>
      <c r="H356" s="1" t="s">
        <v>598</v>
      </c>
      <c r="I356" s="3">
        <v>668</v>
      </c>
      <c r="J356" s="12">
        <v>8</v>
      </c>
      <c r="K356" s="12">
        <v>1</v>
      </c>
      <c r="L356" s="46" t="s">
        <v>599</v>
      </c>
      <c r="M356" s="47" t="s">
        <v>222</v>
      </c>
      <c r="N356" s="47" t="s">
        <v>231</v>
      </c>
      <c r="O356" s="47" t="s">
        <v>240</v>
      </c>
      <c r="P356" s="7"/>
      <c r="Q356" s="124">
        <f>Q357+Q366+Q371</f>
        <v>40301.600000000006</v>
      </c>
      <c r="R356" s="124">
        <f>R357+R366+R371</f>
        <v>40301.600000000006</v>
      </c>
      <c r="T356" s="230"/>
    </row>
    <row r="357" spans="1:20" ht="31.5">
      <c r="A357" s="50"/>
      <c r="B357" s="49"/>
      <c r="C357" s="54"/>
      <c r="D357" s="58"/>
      <c r="E357" s="55"/>
      <c r="F357" s="55"/>
      <c r="G357" s="40"/>
      <c r="H357" s="1" t="s">
        <v>604</v>
      </c>
      <c r="I357" s="7">
        <v>668</v>
      </c>
      <c r="J357" s="12">
        <v>8</v>
      </c>
      <c r="K357" s="12">
        <v>1</v>
      </c>
      <c r="L357" s="46" t="s">
        <v>599</v>
      </c>
      <c r="M357" s="47" t="s">
        <v>222</v>
      </c>
      <c r="N357" s="47" t="s">
        <v>223</v>
      </c>
      <c r="O357" s="47" t="s">
        <v>240</v>
      </c>
      <c r="P357" s="7"/>
      <c r="Q357" s="124">
        <f>Q358+Q360+Q362+Q364</f>
        <v>19274.2</v>
      </c>
      <c r="R357" s="124">
        <f>R358+R360+R362+R364</f>
        <v>19274.2</v>
      </c>
      <c r="T357" s="230"/>
    </row>
    <row r="358" spans="1:20" s="111" customFormat="1" ht="18.75">
      <c r="A358" s="81"/>
      <c r="B358" s="82"/>
      <c r="C358" s="81"/>
      <c r="D358" s="349">
        <v>4520000</v>
      </c>
      <c r="E358" s="349"/>
      <c r="F358" s="349"/>
      <c r="G358" s="75">
        <v>612</v>
      </c>
      <c r="H358" s="173" t="s">
        <v>40</v>
      </c>
      <c r="I358" s="7">
        <v>668</v>
      </c>
      <c r="J358" s="12">
        <v>8</v>
      </c>
      <c r="K358" s="12">
        <v>1</v>
      </c>
      <c r="L358" s="46" t="s">
        <v>599</v>
      </c>
      <c r="M358" s="47" t="s">
        <v>222</v>
      </c>
      <c r="N358" s="47" t="s">
        <v>223</v>
      </c>
      <c r="O358" s="47" t="s">
        <v>39</v>
      </c>
      <c r="P358" s="7"/>
      <c r="Q358" s="124">
        <f>Q359</f>
        <v>12738.5</v>
      </c>
      <c r="R358" s="124">
        <f>R359</f>
        <v>12738.5</v>
      </c>
      <c r="S358" s="283"/>
      <c r="T358" s="230"/>
    </row>
    <row r="359" spans="1:20" ht="18.75">
      <c r="A359" s="50"/>
      <c r="B359" s="49"/>
      <c r="C359" s="48"/>
      <c r="D359" s="58"/>
      <c r="E359" s="53"/>
      <c r="F359" s="53"/>
      <c r="G359" s="40"/>
      <c r="H359" s="8" t="s">
        <v>279</v>
      </c>
      <c r="I359" s="7">
        <v>668</v>
      </c>
      <c r="J359" s="12">
        <v>8</v>
      </c>
      <c r="K359" s="12">
        <v>1</v>
      </c>
      <c r="L359" s="46" t="s">
        <v>599</v>
      </c>
      <c r="M359" s="47" t="s">
        <v>222</v>
      </c>
      <c r="N359" s="47" t="s">
        <v>223</v>
      </c>
      <c r="O359" s="47" t="s">
        <v>39</v>
      </c>
      <c r="P359" s="7">
        <v>610</v>
      </c>
      <c r="Q359" s="124">
        <f>11096.7-300+2200-257.2-1</f>
        <v>12738.5</v>
      </c>
      <c r="R359" s="124">
        <v>12738.5</v>
      </c>
      <c r="T359" s="230"/>
    </row>
    <row r="360" spans="1:20" ht="31.5">
      <c r="A360" s="50"/>
      <c r="B360" s="49"/>
      <c r="C360" s="48"/>
      <c r="D360" s="58"/>
      <c r="E360" s="53"/>
      <c r="F360" s="53"/>
      <c r="G360" s="40"/>
      <c r="H360" s="1" t="s">
        <v>353</v>
      </c>
      <c r="I360" s="3">
        <v>668</v>
      </c>
      <c r="J360" s="12">
        <v>8</v>
      </c>
      <c r="K360" s="12">
        <v>1</v>
      </c>
      <c r="L360" s="46" t="s">
        <v>599</v>
      </c>
      <c r="M360" s="47" t="s">
        <v>222</v>
      </c>
      <c r="N360" s="47" t="s">
        <v>223</v>
      </c>
      <c r="O360" s="47" t="s">
        <v>352</v>
      </c>
      <c r="P360" s="7"/>
      <c r="Q360" s="124">
        <f>Q361</f>
        <v>4757.2</v>
      </c>
      <c r="R360" s="124">
        <f>R361</f>
        <v>4757.2</v>
      </c>
      <c r="T360" s="230"/>
    </row>
    <row r="361" spans="1:20" ht="18.75">
      <c r="A361" s="50"/>
      <c r="B361" s="49"/>
      <c r="C361" s="48"/>
      <c r="D361" s="58"/>
      <c r="E361" s="53"/>
      <c r="F361" s="53"/>
      <c r="G361" s="40"/>
      <c r="H361" s="8" t="s">
        <v>279</v>
      </c>
      <c r="I361" s="7">
        <v>668</v>
      </c>
      <c r="J361" s="12">
        <v>8</v>
      </c>
      <c r="K361" s="12">
        <v>1</v>
      </c>
      <c r="L361" s="46" t="s">
        <v>599</v>
      </c>
      <c r="M361" s="47" t="s">
        <v>222</v>
      </c>
      <c r="N361" s="47" t="s">
        <v>223</v>
      </c>
      <c r="O361" s="47" t="s">
        <v>352</v>
      </c>
      <c r="P361" s="7">
        <v>610</v>
      </c>
      <c r="Q361" s="124">
        <f>4500+257.2</f>
        <v>4757.2</v>
      </c>
      <c r="R361" s="124">
        <v>4757.2</v>
      </c>
      <c r="T361" s="230"/>
    </row>
    <row r="362" spans="1:20" ht="31.5">
      <c r="A362" s="50"/>
      <c r="B362" s="49"/>
      <c r="C362" s="48"/>
      <c r="D362" s="58"/>
      <c r="E362" s="53"/>
      <c r="F362" s="53"/>
      <c r="G362" s="40"/>
      <c r="H362" s="173" t="s">
        <v>605</v>
      </c>
      <c r="I362" s="7">
        <v>668</v>
      </c>
      <c r="J362" s="12">
        <v>8</v>
      </c>
      <c r="K362" s="12">
        <v>1</v>
      </c>
      <c r="L362" s="46" t="s">
        <v>599</v>
      </c>
      <c r="M362" s="47" t="s">
        <v>222</v>
      </c>
      <c r="N362" s="47" t="s">
        <v>223</v>
      </c>
      <c r="O362" s="47" t="s">
        <v>606</v>
      </c>
      <c r="P362" s="7"/>
      <c r="Q362" s="124">
        <f>Q363</f>
        <v>1400.5</v>
      </c>
      <c r="R362" s="124">
        <f>R363</f>
        <v>1400.5</v>
      </c>
      <c r="T362" s="230"/>
    </row>
    <row r="363" spans="1:20" ht="18.75">
      <c r="A363" s="50"/>
      <c r="B363" s="49"/>
      <c r="C363" s="48"/>
      <c r="D363" s="58"/>
      <c r="E363" s="53"/>
      <c r="F363" s="53"/>
      <c r="G363" s="40"/>
      <c r="H363" s="8" t="s">
        <v>279</v>
      </c>
      <c r="I363" s="7">
        <v>668</v>
      </c>
      <c r="J363" s="12">
        <v>8</v>
      </c>
      <c r="K363" s="12">
        <v>1</v>
      </c>
      <c r="L363" s="46" t="s">
        <v>599</v>
      </c>
      <c r="M363" s="47" t="s">
        <v>222</v>
      </c>
      <c r="N363" s="47" t="s">
        <v>223</v>
      </c>
      <c r="O363" s="47" t="s">
        <v>606</v>
      </c>
      <c r="P363" s="7">
        <v>610</v>
      </c>
      <c r="Q363" s="124">
        <v>1400.5</v>
      </c>
      <c r="R363" s="124">
        <v>1400.5</v>
      </c>
      <c r="T363" s="230"/>
    </row>
    <row r="364" spans="1:20" ht="18.75">
      <c r="A364" s="50"/>
      <c r="B364" s="49"/>
      <c r="C364" s="48"/>
      <c r="D364" s="58"/>
      <c r="E364" s="53"/>
      <c r="F364" s="53"/>
      <c r="G364" s="40"/>
      <c r="H364" s="1" t="s">
        <v>607</v>
      </c>
      <c r="I364" s="3">
        <v>668</v>
      </c>
      <c r="J364" s="12">
        <v>8</v>
      </c>
      <c r="K364" s="12">
        <v>1</v>
      </c>
      <c r="L364" s="46" t="s">
        <v>599</v>
      </c>
      <c r="M364" s="47" t="s">
        <v>222</v>
      </c>
      <c r="N364" s="47" t="s">
        <v>223</v>
      </c>
      <c r="O364" s="47" t="s">
        <v>608</v>
      </c>
      <c r="P364" s="7"/>
      <c r="Q364" s="124">
        <f>Q365</f>
        <v>378</v>
      </c>
      <c r="R364" s="124">
        <f>R365</f>
        <v>378</v>
      </c>
      <c r="T364" s="230"/>
    </row>
    <row r="365" spans="1:20" ht="18.75">
      <c r="A365" s="50"/>
      <c r="B365" s="49"/>
      <c r="C365" s="48"/>
      <c r="D365" s="58"/>
      <c r="E365" s="53"/>
      <c r="F365" s="53"/>
      <c r="G365" s="40"/>
      <c r="H365" s="8" t="s">
        <v>279</v>
      </c>
      <c r="I365" s="7">
        <v>668</v>
      </c>
      <c r="J365" s="12">
        <v>8</v>
      </c>
      <c r="K365" s="12">
        <v>1</v>
      </c>
      <c r="L365" s="46" t="s">
        <v>599</v>
      </c>
      <c r="M365" s="47" t="s">
        <v>222</v>
      </c>
      <c r="N365" s="47" t="s">
        <v>223</v>
      </c>
      <c r="O365" s="47" t="s">
        <v>608</v>
      </c>
      <c r="P365" s="7">
        <v>610</v>
      </c>
      <c r="Q365" s="124">
        <v>378</v>
      </c>
      <c r="R365" s="124">
        <v>378</v>
      </c>
      <c r="T365" s="230"/>
    </row>
    <row r="366" spans="1:20" ht="31.5">
      <c r="A366" s="50"/>
      <c r="B366" s="49"/>
      <c r="C366" s="48"/>
      <c r="D366" s="58"/>
      <c r="E366" s="53"/>
      <c r="F366" s="53"/>
      <c r="G366" s="40"/>
      <c r="H366" s="173" t="s">
        <v>263</v>
      </c>
      <c r="I366" s="7">
        <v>668</v>
      </c>
      <c r="J366" s="12">
        <v>8</v>
      </c>
      <c r="K366" s="12">
        <v>1</v>
      </c>
      <c r="L366" s="46" t="s">
        <v>599</v>
      </c>
      <c r="M366" s="47" t="s">
        <v>222</v>
      </c>
      <c r="N366" s="47" t="s">
        <v>234</v>
      </c>
      <c r="O366" s="47" t="s">
        <v>240</v>
      </c>
      <c r="P366" s="7"/>
      <c r="Q366" s="124">
        <f>Q367+Q369</f>
        <v>18409.9</v>
      </c>
      <c r="R366" s="124">
        <f>R367+R369</f>
        <v>18409.9</v>
      </c>
      <c r="T366" s="230"/>
    </row>
    <row r="367" spans="1:20" ht="18.75">
      <c r="A367" s="50"/>
      <c r="B367" s="49"/>
      <c r="C367" s="48"/>
      <c r="D367" s="352">
        <v>5220000</v>
      </c>
      <c r="E367" s="353"/>
      <c r="F367" s="353"/>
      <c r="G367" s="40">
        <v>612</v>
      </c>
      <c r="H367" s="8" t="s">
        <v>8</v>
      </c>
      <c r="I367" s="7">
        <v>668</v>
      </c>
      <c r="J367" s="12">
        <v>8</v>
      </c>
      <c r="K367" s="12">
        <v>1</v>
      </c>
      <c r="L367" s="46" t="s">
        <v>599</v>
      </c>
      <c r="M367" s="47" t="s">
        <v>222</v>
      </c>
      <c r="N367" s="47" t="s">
        <v>234</v>
      </c>
      <c r="O367" s="47" t="s">
        <v>9</v>
      </c>
      <c r="P367" s="7"/>
      <c r="Q367" s="124">
        <f>Q368</f>
        <v>9594.3</v>
      </c>
      <c r="R367" s="124">
        <f>R368</f>
        <v>9594.3</v>
      </c>
      <c r="T367" s="230"/>
    </row>
    <row r="368" spans="1:20" ht="18.75">
      <c r="A368" s="50"/>
      <c r="B368" s="49"/>
      <c r="C368" s="48"/>
      <c r="D368" s="52"/>
      <c r="E368" s="51"/>
      <c r="F368" s="51"/>
      <c r="G368" s="40"/>
      <c r="H368" s="8" t="s">
        <v>279</v>
      </c>
      <c r="I368" s="3">
        <v>668</v>
      </c>
      <c r="J368" s="12">
        <v>8</v>
      </c>
      <c r="K368" s="12">
        <v>1</v>
      </c>
      <c r="L368" s="46" t="s">
        <v>599</v>
      </c>
      <c r="M368" s="47" t="s">
        <v>222</v>
      </c>
      <c r="N368" s="47" t="s">
        <v>234</v>
      </c>
      <c r="O368" s="47" t="s">
        <v>9</v>
      </c>
      <c r="P368" s="7">
        <v>610</v>
      </c>
      <c r="Q368" s="124">
        <f>8423.8+1500-329.5</f>
        <v>9594.3</v>
      </c>
      <c r="R368" s="124">
        <v>9594.3</v>
      </c>
      <c r="T368" s="230"/>
    </row>
    <row r="369" spans="1:20" ht="31.5">
      <c r="A369" s="50"/>
      <c r="B369" s="49"/>
      <c r="C369" s="54"/>
      <c r="D369" s="52"/>
      <c r="E369" s="64"/>
      <c r="F369" s="64"/>
      <c r="G369" s="40"/>
      <c r="H369" s="1" t="s">
        <v>353</v>
      </c>
      <c r="I369" s="3">
        <v>668</v>
      </c>
      <c r="J369" s="12">
        <v>8</v>
      </c>
      <c r="K369" s="12">
        <v>1</v>
      </c>
      <c r="L369" s="46" t="s">
        <v>599</v>
      </c>
      <c r="M369" s="47" t="s">
        <v>222</v>
      </c>
      <c r="N369" s="47" t="s">
        <v>234</v>
      </c>
      <c r="O369" s="47" t="s">
        <v>352</v>
      </c>
      <c r="P369" s="7"/>
      <c r="Q369" s="124">
        <f>Q370</f>
        <v>8815.6</v>
      </c>
      <c r="R369" s="124">
        <f>R370</f>
        <v>8815.6</v>
      </c>
      <c r="T369" s="230"/>
    </row>
    <row r="370" spans="1:20" ht="18.75">
      <c r="A370" s="50"/>
      <c r="B370" s="49"/>
      <c r="C370" s="54"/>
      <c r="D370" s="52"/>
      <c r="E370" s="64"/>
      <c r="F370" s="64"/>
      <c r="G370" s="40"/>
      <c r="H370" s="8" t="s">
        <v>279</v>
      </c>
      <c r="I370" s="7">
        <v>668</v>
      </c>
      <c r="J370" s="12">
        <v>8</v>
      </c>
      <c r="K370" s="12">
        <v>1</v>
      </c>
      <c r="L370" s="46" t="s">
        <v>599</v>
      </c>
      <c r="M370" s="47" t="s">
        <v>222</v>
      </c>
      <c r="N370" s="47" t="s">
        <v>234</v>
      </c>
      <c r="O370" s="47" t="s">
        <v>352</v>
      </c>
      <c r="P370" s="7">
        <v>610</v>
      </c>
      <c r="Q370" s="124">
        <f>8486.1+329.5</f>
        <v>8815.6</v>
      </c>
      <c r="R370" s="124">
        <v>8815.6</v>
      </c>
      <c r="T370" s="230"/>
    </row>
    <row r="371" spans="1:20" ht="31.5">
      <c r="A371" s="50"/>
      <c r="B371" s="49"/>
      <c r="C371" s="54"/>
      <c r="D371" s="52"/>
      <c r="E371" s="64"/>
      <c r="F371" s="64"/>
      <c r="G371" s="40"/>
      <c r="H371" s="173" t="s">
        <v>609</v>
      </c>
      <c r="I371" s="7">
        <v>668</v>
      </c>
      <c r="J371" s="12">
        <v>8</v>
      </c>
      <c r="K371" s="12">
        <v>1</v>
      </c>
      <c r="L371" s="46" t="s">
        <v>599</v>
      </c>
      <c r="M371" s="47" t="s">
        <v>222</v>
      </c>
      <c r="N371" s="47" t="s">
        <v>235</v>
      </c>
      <c r="O371" s="47" t="s">
        <v>240</v>
      </c>
      <c r="P371" s="7"/>
      <c r="Q371" s="124">
        <f>Q372+Q375</f>
        <v>2617.5</v>
      </c>
      <c r="R371" s="124">
        <f>R372+R375</f>
        <v>2617.5</v>
      </c>
      <c r="T371" s="230"/>
    </row>
    <row r="372" spans="1:20" ht="18.75">
      <c r="A372" s="50"/>
      <c r="B372" s="49"/>
      <c r="C372" s="54"/>
      <c r="D372" s="52"/>
      <c r="E372" s="64"/>
      <c r="F372" s="64"/>
      <c r="G372" s="40"/>
      <c r="H372" s="8" t="s">
        <v>8</v>
      </c>
      <c r="I372" s="7">
        <v>668</v>
      </c>
      <c r="J372" s="12">
        <v>8</v>
      </c>
      <c r="K372" s="12">
        <v>1</v>
      </c>
      <c r="L372" s="46" t="s">
        <v>599</v>
      </c>
      <c r="M372" s="47" t="s">
        <v>222</v>
      </c>
      <c r="N372" s="47" t="s">
        <v>235</v>
      </c>
      <c r="O372" s="47" t="s">
        <v>9</v>
      </c>
      <c r="P372" s="7"/>
      <c r="Q372" s="124">
        <f>Q373+Q374</f>
        <v>296.2</v>
      </c>
      <c r="R372" s="124">
        <f>R373+R374</f>
        <v>296.2</v>
      </c>
      <c r="T372" s="230"/>
    </row>
    <row r="373" spans="1:20" ht="18.75" hidden="1">
      <c r="A373" s="50"/>
      <c r="B373" s="49"/>
      <c r="C373" s="54"/>
      <c r="D373" s="52"/>
      <c r="E373" s="64"/>
      <c r="F373" s="64"/>
      <c r="G373" s="40"/>
      <c r="H373" s="2" t="s">
        <v>277</v>
      </c>
      <c r="I373" s="7">
        <v>668</v>
      </c>
      <c r="J373" s="12">
        <v>8</v>
      </c>
      <c r="K373" s="12">
        <v>1</v>
      </c>
      <c r="L373" s="46" t="s">
        <v>599</v>
      </c>
      <c r="M373" s="47" t="s">
        <v>222</v>
      </c>
      <c r="N373" s="47" t="s">
        <v>235</v>
      </c>
      <c r="O373" s="47" t="s">
        <v>9</v>
      </c>
      <c r="P373" s="7">
        <v>240</v>
      </c>
      <c r="Q373" s="345">
        <f>2200-2200</f>
        <v>0</v>
      </c>
      <c r="R373" s="124"/>
      <c r="T373" s="230"/>
    </row>
    <row r="374" spans="1:20" ht="18.75">
      <c r="A374" s="50"/>
      <c r="B374" s="49"/>
      <c r="C374" s="54"/>
      <c r="D374" s="52"/>
      <c r="E374" s="55"/>
      <c r="F374" s="55"/>
      <c r="G374" s="40"/>
      <c r="H374" s="8" t="s">
        <v>279</v>
      </c>
      <c r="I374" s="3">
        <v>668</v>
      </c>
      <c r="J374" s="12">
        <v>8</v>
      </c>
      <c r="K374" s="12">
        <v>1</v>
      </c>
      <c r="L374" s="46" t="s">
        <v>599</v>
      </c>
      <c r="M374" s="47" t="s">
        <v>222</v>
      </c>
      <c r="N374" s="47" t="s">
        <v>235</v>
      </c>
      <c r="O374" s="47" t="s">
        <v>9</v>
      </c>
      <c r="P374" s="7">
        <v>610</v>
      </c>
      <c r="Q374" s="124">
        <f>370-80+6.2</f>
        <v>296.2</v>
      </c>
      <c r="R374" s="124">
        <v>296.2</v>
      </c>
      <c r="T374" s="230"/>
    </row>
    <row r="375" spans="1:20" ht="31.5">
      <c r="A375" s="50"/>
      <c r="B375" s="49"/>
      <c r="C375" s="54"/>
      <c r="D375" s="52"/>
      <c r="E375" s="55"/>
      <c r="F375" s="55"/>
      <c r="G375" s="40"/>
      <c r="H375" s="1" t="s">
        <v>605</v>
      </c>
      <c r="I375" s="3">
        <v>668</v>
      </c>
      <c r="J375" s="12">
        <v>8</v>
      </c>
      <c r="K375" s="12">
        <v>1</v>
      </c>
      <c r="L375" s="46" t="s">
        <v>599</v>
      </c>
      <c r="M375" s="47" t="s">
        <v>222</v>
      </c>
      <c r="N375" s="47" t="s">
        <v>235</v>
      </c>
      <c r="O375" s="47" t="s">
        <v>606</v>
      </c>
      <c r="P375" s="7"/>
      <c r="Q375" s="124">
        <f>Q376</f>
        <v>2321.3</v>
      </c>
      <c r="R375" s="124">
        <f>R376</f>
        <v>2321.3</v>
      </c>
      <c r="T375" s="230"/>
    </row>
    <row r="376" spans="1:20" s="111" customFormat="1" ht="18.75">
      <c r="A376" s="81"/>
      <c r="B376" s="82"/>
      <c r="C376" s="92"/>
      <c r="D376" s="89"/>
      <c r="E376" s="84"/>
      <c r="F376" s="84"/>
      <c r="G376" s="94">
        <v>622</v>
      </c>
      <c r="H376" s="8" t="s">
        <v>279</v>
      </c>
      <c r="I376" s="7">
        <v>668</v>
      </c>
      <c r="J376" s="12">
        <v>8</v>
      </c>
      <c r="K376" s="12">
        <v>1</v>
      </c>
      <c r="L376" s="46" t="s">
        <v>599</v>
      </c>
      <c r="M376" s="47" t="s">
        <v>222</v>
      </c>
      <c r="N376" s="47" t="s">
        <v>235</v>
      </c>
      <c r="O376" s="47" t="s">
        <v>606</v>
      </c>
      <c r="P376" s="7">
        <v>610</v>
      </c>
      <c r="Q376" s="124">
        <f>2270.8+380-323.3-6.2</f>
        <v>2321.3</v>
      </c>
      <c r="R376" s="124">
        <v>2321.3</v>
      </c>
      <c r="S376" s="283"/>
      <c r="T376" s="230"/>
    </row>
    <row r="377" spans="1:20" s="111" customFormat="1" ht="31.5">
      <c r="A377" s="81"/>
      <c r="B377" s="82"/>
      <c r="C377" s="92"/>
      <c r="D377" s="89"/>
      <c r="E377" s="84"/>
      <c r="F377" s="84"/>
      <c r="G377" s="75"/>
      <c r="H377" s="173" t="s">
        <v>518</v>
      </c>
      <c r="I377" s="3">
        <v>668</v>
      </c>
      <c r="J377" s="12">
        <v>8</v>
      </c>
      <c r="K377" s="12">
        <v>1</v>
      </c>
      <c r="L377" s="46" t="s">
        <v>519</v>
      </c>
      <c r="M377" s="47" t="s">
        <v>222</v>
      </c>
      <c r="N377" s="47" t="s">
        <v>231</v>
      </c>
      <c r="O377" s="47" t="s">
        <v>240</v>
      </c>
      <c r="P377" s="7"/>
      <c r="Q377" s="124">
        <f>Q378</f>
        <v>50</v>
      </c>
      <c r="R377" s="124">
        <f>R378</f>
        <v>50</v>
      </c>
      <c r="S377" s="283"/>
      <c r="T377" s="230"/>
    </row>
    <row r="378" spans="1:20" s="111" customFormat="1" ht="18.75">
      <c r="A378" s="81"/>
      <c r="B378" s="82"/>
      <c r="C378" s="92"/>
      <c r="D378" s="89"/>
      <c r="E378" s="84"/>
      <c r="F378" s="84"/>
      <c r="G378" s="75"/>
      <c r="H378" s="1" t="s">
        <v>375</v>
      </c>
      <c r="I378" s="3">
        <v>668</v>
      </c>
      <c r="J378" s="12">
        <v>8</v>
      </c>
      <c r="K378" s="12">
        <v>1</v>
      </c>
      <c r="L378" s="46" t="s">
        <v>519</v>
      </c>
      <c r="M378" s="47" t="s">
        <v>220</v>
      </c>
      <c r="N378" s="47" t="s">
        <v>231</v>
      </c>
      <c r="O378" s="47" t="s">
        <v>240</v>
      </c>
      <c r="P378" s="7"/>
      <c r="Q378" s="124">
        <f aca="true" t="shared" si="15" ref="Q378:R380">Q379</f>
        <v>50</v>
      </c>
      <c r="R378" s="124">
        <f t="shared" si="15"/>
        <v>50</v>
      </c>
      <c r="S378" s="283"/>
      <c r="T378" s="230"/>
    </row>
    <row r="379" spans="1:20" s="111" customFormat="1" ht="31.5">
      <c r="A379" s="81"/>
      <c r="B379" s="82"/>
      <c r="C379" s="92"/>
      <c r="D379" s="89"/>
      <c r="E379" s="84"/>
      <c r="F379" s="84"/>
      <c r="G379" s="75"/>
      <c r="H379" s="8" t="s">
        <v>376</v>
      </c>
      <c r="I379" s="3">
        <v>668</v>
      </c>
      <c r="J379" s="12">
        <v>8</v>
      </c>
      <c r="K379" s="12">
        <v>1</v>
      </c>
      <c r="L379" s="46" t="s">
        <v>519</v>
      </c>
      <c r="M379" s="47" t="s">
        <v>220</v>
      </c>
      <c r="N379" s="47" t="s">
        <v>223</v>
      </c>
      <c r="O379" s="47" t="s">
        <v>240</v>
      </c>
      <c r="P379" s="7"/>
      <c r="Q379" s="124">
        <f t="shared" si="15"/>
        <v>50</v>
      </c>
      <c r="R379" s="124">
        <f t="shared" si="15"/>
        <v>50</v>
      </c>
      <c r="S379" s="283"/>
      <c r="T379" s="230"/>
    </row>
    <row r="380" spans="1:20" ht="47.25">
      <c r="A380" s="50"/>
      <c r="B380" s="49"/>
      <c r="C380" s="54"/>
      <c r="D380" s="52"/>
      <c r="E380" s="55"/>
      <c r="F380" s="55"/>
      <c r="G380" s="40"/>
      <c r="H380" s="8" t="s">
        <v>377</v>
      </c>
      <c r="I380" s="3">
        <v>668</v>
      </c>
      <c r="J380" s="12">
        <v>8</v>
      </c>
      <c r="K380" s="12">
        <v>1</v>
      </c>
      <c r="L380" s="46" t="s">
        <v>519</v>
      </c>
      <c r="M380" s="47" t="s">
        <v>220</v>
      </c>
      <c r="N380" s="47" t="s">
        <v>223</v>
      </c>
      <c r="O380" s="47" t="s">
        <v>321</v>
      </c>
      <c r="P380" s="7"/>
      <c r="Q380" s="124">
        <f t="shared" si="15"/>
        <v>50</v>
      </c>
      <c r="R380" s="124">
        <f t="shared" si="15"/>
        <v>50</v>
      </c>
      <c r="T380" s="230"/>
    </row>
    <row r="381" spans="1:20" ht="18.75">
      <c r="A381" s="50"/>
      <c r="B381" s="49"/>
      <c r="C381" s="54"/>
      <c r="D381" s="52"/>
      <c r="E381" s="55"/>
      <c r="F381" s="55"/>
      <c r="G381" s="40"/>
      <c r="H381" s="8" t="s">
        <v>279</v>
      </c>
      <c r="I381" s="3">
        <v>668</v>
      </c>
      <c r="J381" s="12">
        <v>8</v>
      </c>
      <c r="K381" s="12">
        <v>1</v>
      </c>
      <c r="L381" s="46" t="s">
        <v>519</v>
      </c>
      <c r="M381" s="47" t="s">
        <v>220</v>
      </c>
      <c r="N381" s="47" t="s">
        <v>223</v>
      </c>
      <c r="O381" s="47" t="s">
        <v>321</v>
      </c>
      <c r="P381" s="7">
        <v>610</v>
      </c>
      <c r="Q381" s="124">
        <f>50</f>
        <v>50</v>
      </c>
      <c r="R381" s="124">
        <v>50</v>
      </c>
      <c r="T381" s="230"/>
    </row>
    <row r="382" spans="1:20" ht="31.5">
      <c r="A382" s="50"/>
      <c r="B382" s="49"/>
      <c r="C382" s="54"/>
      <c r="D382" s="58"/>
      <c r="E382" s="55"/>
      <c r="F382" s="55"/>
      <c r="G382" s="40"/>
      <c r="H382" s="8" t="s">
        <v>509</v>
      </c>
      <c r="I382" s="7">
        <v>668</v>
      </c>
      <c r="J382" s="12">
        <v>8</v>
      </c>
      <c r="K382" s="12">
        <v>1</v>
      </c>
      <c r="L382" s="46" t="s">
        <v>510</v>
      </c>
      <c r="M382" s="47" t="s">
        <v>222</v>
      </c>
      <c r="N382" s="47" t="s">
        <v>231</v>
      </c>
      <c r="O382" s="47" t="s">
        <v>240</v>
      </c>
      <c r="P382" s="7"/>
      <c r="Q382" s="124">
        <f aca="true" t="shared" si="16" ref="Q382:R384">Q383</f>
        <v>39</v>
      </c>
      <c r="R382" s="124">
        <f t="shared" si="16"/>
        <v>39</v>
      </c>
      <c r="T382" s="230"/>
    </row>
    <row r="383" spans="1:20" ht="63">
      <c r="A383" s="50"/>
      <c r="B383" s="49"/>
      <c r="C383" s="54"/>
      <c r="D383" s="58"/>
      <c r="E383" s="55"/>
      <c r="F383" s="55"/>
      <c r="G383" s="40"/>
      <c r="H383" s="8" t="s">
        <v>610</v>
      </c>
      <c r="I383" s="7">
        <v>668</v>
      </c>
      <c r="J383" s="12">
        <v>8</v>
      </c>
      <c r="K383" s="12">
        <v>1</v>
      </c>
      <c r="L383" s="46" t="s">
        <v>510</v>
      </c>
      <c r="M383" s="47" t="s">
        <v>222</v>
      </c>
      <c r="N383" s="47" t="s">
        <v>227</v>
      </c>
      <c r="O383" s="47" t="s">
        <v>240</v>
      </c>
      <c r="P383" s="7"/>
      <c r="Q383" s="124">
        <f t="shared" si="16"/>
        <v>39</v>
      </c>
      <c r="R383" s="124">
        <f t="shared" si="16"/>
        <v>39</v>
      </c>
      <c r="T383" s="230"/>
    </row>
    <row r="384" spans="1:20" ht="18.75">
      <c r="A384" s="50"/>
      <c r="B384" s="49"/>
      <c r="C384" s="54"/>
      <c r="D384" s="52"/>
      <c r="E384" s="355">
        <v>5225700</v>
      </c>
      <c r="F384" s="355"/>
      <c r="G384" s="40">
        <v>612</v>
      </c>
      <c r="H384" s="8" t="s">
        <v>364</v>
      </c>
      <c r="I384" s="7">
        <v>668</v>
      </c>
      <c r="J384" s="12">
        <v>8</v>
      </c>
      <c r="K384" s="12">
        <v>1</v>
      </c>
      <c r="L384" s="46" t="s">
        <v>510</v>
      </c>
      <c r="M384" s="47" t="s">
        <v>222</v>
      </c>
      <c r="N384" s="47" t="s">
        <v>227</v>
      </c>
      <c r="O384" s="47" t="s">
        <v>35</v>
      </c>
      <c r="P384" s="7"/>
      <c r="Q384" s="124">
        <f t="shared" si="16"/>
        <v>39</v>
      </c>
      <c r="R384" s="124">
        <f t="shared" si="16"/>
        <v>39</v>
      </c>
      <c r="T384" s="230"/>
    </row>
    <row r="385" spans="1:20" ht="18.75">
      <c r="A385" s="50"/>
      <c r="B385" s="49"/>
      <c r="C385" s="54"/>
      <c r="D385" s="52"/>
      <c r="E385" s="55"/>
      <c r="F385" s="55"/>
      <c r="G385" s="40"/>
      <c r="H385" s="8" t="s">
        <v>279</v>
      </c>
      <c r="I385" s="7">
        <v>668</v>
      </c>
      <c r="J385" s="12">
        <v>8</v>
      </c>
      <c r="K385" s="12">
        <v>1</v>
      </c>
      <c r="L385" s="46" t="s">
        <v>510</v>
      </c>
      <c r="M385" s="47" t="s">
        <v>222</v>
      </c>
      <c r="N385" s="47" t="s">
        <v>227</v>
      </c>
      <c r="O385" s="47" t="s">
        <v>35</v>
      </c>
      <c r="P385" s="7">
        <v>610</v>
      </c>
      <c r="Q385" s="124">
        <f>10+9+20</f>
        <v>39</v>
      </c>
      <c r="R385" s="124">
        <v>39</v>
      </c>
      <c r="T385" s="230"/>
    </row>
    <row r="386" spans="1:20" ht="19.5">
      <c r="A386" s="50"/>
      <c r="B386" s="49"/>
      <c r="C386" s="54"/>
      <c r="D386" s="58"/>
      <c r="E386" s="55"/>
      <c r="F386" s="55"/>
      <c r="G386" s="40"/>
      <c r="H386" s="231" t="s">
        <v>611</v>
      </c>
      <c r="I386" s="77">
        <v>668</v>
      </c>
      <c r="J386" s="78">
        <v>9</v>
      </c>
      <c r="K386" s="78" t="s">
        <v>241</v>
      </c>
      <c r="L386" s="79"/>
      <c r="M386" s="80"/>
      <c r="N386" s="80"/>
      <c r="O386" s="80"/>
      <c r="P386" s="77"/>
      <c r="Q386" s="123">
        <f aca="true" t="shared" si="17" ref="Q386:R390">Q387</f>
        <v>271.6</v>
      </c>
      <c r="R386" s="123">
        <f t="shared" si="17"/>
        <v>271.6</v>
      </c>
      <c r="T386" s="230"/>
    </row>
    <row r="387" spans="1:20" ht="19.5">
      <c r="A387" s="50"/>
      <c r="B387" s="49"/>
      <c r="C387" s="54"/>
      <c r="D387" s="58"/>
      <c r="E387" s="55"/>
      <c r="F387" s="55"/>
      <c r="G387" s="40"/>
      <c r="H387" s="231" t="s">
        <v>226</v>
      </c>
      <c r="I387" s="77">
        <v>668</v>
      </c>
      <c r="J387" s="78">
        <v>9</v>
      </c>
      <c r="K387" s="78">
        <v>7</v>
      </c>
      <c r="L387" s="79"/>
      <c r="M387" s="80"/>
      <c r="N387" s="80"/>
      <c r="O387" s="80"/>
      <c r="P387" s="77"/>
      <c r="Q387" s="123">
        <f t="shared" si="17"/>
        <v>271.6</v>
      </c>
      <c r="R387" s="123">
        <f t="shared" si="17"/>
        <v>271.6</v>
      </c>
      <c r="T387" s="230"/>
    </row>
    <row r="388" spans="1:20" ht="31.5">
      <c r="A388" s="50"/>
      <c r="B388" s="49"/>
      <c r="C388" s="54"/>
      <c r="D388" s="58"/>
      <c r="E388" s="55"/>
      <c r="F388" s="55"/>
      <c r="G388" s="40"/>
      <c r="H388" s="8" t="s">
        <v>509</v>
      </c>
      <c r="I388" s="3">
        <v>668</v>
      </c>
      <c r="J388" s="12">
        <v>9</v>
      </c>
      <c r="K388" s="12">
        <v>7</v>
      </c>
      <c r="L388" s="46" t="s">
        <v>510</v>
      </c>
      <c r="M388" s="47" t="s">
        <v>222</v>
      </c>
      <c r="N388" s="47" t="s">
        <v>231</v>
      </c>
      <c r="O388" s="47" t="s">
        <v>240</v>
      </c>
      <c r="P388" s="7"/>
      <c r="Q388" s="124">
        <f t="shared" si="17"/>
        <v>271.6</v>
      </c>
      <c r="R388" s="124">
        <f t="shared" si="17"/>
        <v>271.6</v>
      </c>
      <c r="T388" s="230"/>
    </row>
    <row r="389" spans="1:20" ht="31.5">
      <c r="A389" s="50"/>
      <c r="B389" s="49"/>
      <c r="C389" s="54"/>
      <c r="D389" s="58"/>
      <c r="E389" s="55"/>
      <c r="F389" s="55"/>
      <c r="G389" s="40"/>
      <c r="H389" s="1" t="s">
        <v>513</v>
      </c>
      <c r="I389" s="3">
        <v>668</v>
      </c>
      <c r="J389" s="12">
        <v>9</v>
      </c>
      <c r="K389" s="12">
        <v>7</v>
      </c>
      <c r="L389" s="46" t="s">
        <v>510</v>
      </c>
      <c r="M389" s="47" t="s">
        <v>222</v>
      </c>
      <c r="N389" s="47" t="s">
        <v>225</v>
      </c>
      <c r="O389" s="47" t="s">
        <v>240</v>
      </c>
      <c r="P389" s="7"/>
      <c r="Q389" s="124">
        <f t="shared" si="17"/>
        <v>271.6</v>
      </c>
      <c r="R389" s="124">
        <f t="shared" si="17"/>
        <v>271.6</v>
      </c>
      <c r="T389" s="230"/>
    </row>
    <row r="390" spans="1:20" ht="47.25">
      <c r="A390" s="50"/>
      <c r="B390" s="49"/>
      <c r="C390" s="54"/>
      <c r="D390" s="58"/>
      <c r="E390" s="55"/>
      <c r="F390" s="55"/>
      <c r="G390" s="40"/>
      <c r="H390" s="1" t="s">
        <v>276</v>
      </c>
      <c r="I390" s="7">
        <v>668</v>
      </c>
      <c r="J390" s="12">
        <v>9</v>
      </c>
      <c r="K390" s="12">
        <v>7</v>
      </c>
      <c r="L390" s="46" t="s">
        <v>510</v>
      </c>
      <c r="M390" s="47" t="s">
        <v>222</v>
      </c>
      <c r="N390" s="47" t="s">
        <v>225</v>
      </c>
      <c r="O390" s="47" t="s">
        <v>245</v>
      </c>
      <c r="P390" s="7"/>
      <c r="Q390" s="124">
        <f t="shared" si="17"/>
        <v>271.6</v>
      </c>
      <c r="R390" s="124">
        <f t="shared" si="17"/>
        <v>271.6</v>
      </c>
      <c r="T390" s="230"/>
    </row>
    <row r="391" spans="1:20" ht="18.75">
      <c r="A391" s="50"/>
      <c r="B391" s="49"/>
      <c r="C391" s="54"/>
      <c r="D391" s="58"/>
      <c r="E391" s="55"/>
      <c r="F391" s="55"/>
      <c r="G391" s="40"/>
      <c r="H391" s="2" t="s">
        <v>277</v>
      </c>
      <c r="I391" s="7">
        <v>668</v>
      </c>
      <c r="J391" s="12">
        <v>9</v>
      </c>
      <c r="K391" s="12">
        <v>7</v>
      </c>
      <c r="L391" s="46" t="s">
        <v>510</v>
      </c>
      <c r="M391" s="47" t="s">
        <v>222</v>
      </c>
      <c r="N391" s="47" t="s">
        <v>225</v>
      </c>
      <c r="O391" s="47" t="s">
        <v>245</v>
      </c>
      <c r="P391" s="7">
        <v>240</v>
      </c>
      <c r="Q391" s="124">
        <f>198.5+24.7+49.3-0.9</f>
        <v>271.6</v>
      </c>
      <c r="R391" s="124">
        <v>271.6</v>
      </c>
      <c r="T391" s="230"/>
    </row>
    <row r="392" spans="1:20" ht="19.5">
      <c r="A392" s="50"/>
      <c r="B392" s="49"/>
      <c r="C392" s="54"/>
      <c r="D392" s="58"/>
      <c r="E392" s="55"/>
      <c r="F392" s="55"/>
      <c r="G392" s="40"/>
      <c r="H392" s="231" t="s">
        <v>504</v>
      </c>
      <c r="I392" s="77">
        <v>668</v>
      </c>
      <c r="J392" s="78">
        <v>10</v>
      </c>
      <c r="K392" s="78" t="s">
        <v>241</v>
      </c>
      <c r="L392" s="79"/>
      <c r="M392" s="80"/>
      <c r="N392" s="80"/>
      <c r="O392" s="80"/>
      <c r="P392" s="77"/>
      <c r="Q392" s="123">
        <f>Q393+Q398+Q418</f>
        <v>15075.899999999998</v>
      </c>
      <c r="R392" s="123">
        <f>R393+R398+R418</f>
        <v>15067.8</v>
      </c>
      <c r="T392" s="230"/>
    </row>
    <row r="393" spans="1:20" s="111" customFormat="1" ht="19.5">
      <c r="A393" s="81"/>
      <c r="B393" s="82"/>
      <c r="C393" s="92"/>
      <c r="D393" s="83"/>
      <c r="E393" s="84"/>
      <c r="F393" s="84"/>
      <c r="G393" s="94">
        <v>612</v>
      </c>
      <c r="H393" s="253" t="s">
        <v>82</v>
      </c>
      <c r="I393" s="85">
        <v>668</v>
      </c>
      <c r="J393" s="78">
        <v>10</v>
      </c>
      <c r="K393" s="78">
        <v>1</v>
      </c>
      <c r="L393" s="79"/>
      <c r="M393" s="80"/>
      <c r="N393" s="80"/>
      <c r="O393" s="80"/>
      <c r="P393" s="77"/>
      <c r="Q393" s="123">
        <f aca="true" t="shared" si="18" ref="Q393:R396">Q394</f>
        <v>4303.9</v>
      </c>
      <c r="R393" s="123">
        <f t="shared" si="18"/>
        <v>4303.9</v>
      </c>
      <c r="S393" s="283"/>
      <c r="T393" s="230"/>
    </row>
    <row r="394" spans="1:20" s="111" customFormat="1" ht="31.5">
      <c r="A394" s="81"/>
      <c r="B394" s="82"/>
      <c r="C394" s="81"/>
      <c r="D394" s="349">
        <v>5250000</v>
      </c>
      <c r="E394" s="350"/>
      <c r="F394" s="350"/>
      <c r="G394" s="75">
        <v>530</v>
      </c>
      <c r="H394" s="8" t="s">
        <v>509</v>
      </c>
      <c r="I394" s="7">
        <v>668</v>
      </c>
      <c r="J394" s="12">
        <v>10</v>
      </c>
      <c r="K394" s="12">
        <v>1</v>
      </c>
      <c r="L394" s="46" t="s">
        <v>510</v>
      </c>
      <c r="M394" s="47" t="s">
        <v>222</v>
      </c>
      <c r="N394" s="47" t="s">
        <v>231</v>
      </c>
      <c r="O394" s="47" t="s">
        <v>240</v>
      </c>
      <c r="P394" s="7"/>
      <c r="Q394" s="124">
        <f t="shared" si="18"/>
        <v>4303.9</v>
      </c>
      <c r="R394" s="124">
        <f t="shared" si="18"/>
        <v>4303.9</v>
      </c>
      <c r="S394" s="283"/>
      <c r="T394" s="230"/>
    </row>
    <row r="395" spans="1:20" s="111" customFormat="1" ht="63">
      <c r="A395" s="81"/>
      <c r="B395" s="82"/>
      <c r="C395" s="81"/>
      <c r="D395" s="89"/>
      <c r="E395" s="186"/>
      <c r="F395" s="186"/>
      <c r="G395" s="75"/>
      <c r="H395" s="8" t="s">
        <v>610</v>
      </c>
      <c r="I395" s="7">
        <v>668</v>
      </c>
      <c r="J395" s="12">
        <v>10</v>
      </c>
      <c r="K395" s="12">
        <v>1</v>
      </c>
      <c r="L395" s="46" t="s">
        <v>510</v>
      </c>
      <c r="M395" s="47" t="s">
        <v>222</v>
      </c>
      <c r="N395" s="47" t="s">
        <v>227</v>
      </c>
      <c r="O395" s="47" t="s">
        <v>240</v>
      </c>
      <c r="P395" s="7"/>
      <c r="Q395" s="124">
        <f t="shared" si="18"/>
        <v>4303.9</v>
      </c>
      <c r="R395" s="124">
        <f t="shared" si="18"/>
        <v>4303.9</v>
      </c>
      <c r="S395" s="283"/>
      <c r="T395" s="230"/>
    </row>
    <row r="396" spans="1:20" s="111" customFormat="1" ht="18.75">
      <c r="A396" s="81"/>
      <c r="B396" s="82"/>
      <c r="C396" s="81"/>
      <c r="D396" s="89"/>
      <c r="E396" s="186"/>
      <c r="F396" s="186"/>
      <c r="G396" s="75"/>
      <c r="H396" s="1" t="s">
        <v>612</v>
      </c>
      <c r="I396" s="3">
        <v>668</v>
      </c>
      <c r="J396" s="12">
        <v>10</v>
      </c>
      <c r="K396" s="12">
        <v>1</v>
      </c>
      <c r="L396" s="46" t="s">
        <v>510</v>
      </c>
      <c r="M396" s="47" t="s">
        <v>222</v>
      </c>
      <c r="N396" s="47" t="s">
        <v>227</v>
      </c>
      <c r="O396" s="47" t="s">
        <v>41</v>
      </c>
      <c r="P396" s="7"/>
      <c r="Q396" s="124">
        <f t="shared" si="18"/>
        <v>4303.9</v>
      </c>
      <c r="R396" s="124">
        <f t="shared" si="18"/>
        <v>4303.9</v>
      </c>
      <c r="S396" s="283"/>
      <c r="T396" s="230"/>
    </row>
    <row r="397" spans="1:20" s="111" customFormat="1" ht="18.75">
      <c r="A397" s="81"/>
      <c r="B397" s="82"/>
      <c r="C397" s="81"/>
      <c r="D397" s="89"/>
      <c r="E397" s="186"/>
      <c r="F397" s="186"/>
      <c r="G397" s="75"/>
      <c r="H397" s="2" t="s">
        <v>281</v>
      </c>
      <c r="I397" s="7">
        <v>668</v>
      </c>
      <c r="J397" s="12">
        <v>10</v>
      </c>
      <c r="K397" s="12">
        <v>1</v>
      </c>
      <c r="L397" s="46" t="s">
        <v>510</v>
      </c>
      <c r="M397" s="47" t="s">
        <v>222</v>
      </c>
      <c r="N397" s="47" t="s">
        <v>227</v>
      </c>
      <c r="O397" s="47" t="s">
        <v>41</v>
      </c>
      <c r="P397" s="7">
        <v>320</v>
      </c>
      <c r="Q397" s="124">
        <f>2160+319.7+422+1224.7+0.1+177.4</f>
        <v>4303.9</v>
      </c>
      <c r="R397" s="124">
        <v>4303.9</v>
      </c>
      <c r="S397" s="283"/>
      <c r="T397" s="230"/>
    </row>
    <row r="398" spans="1:20" s="111" customFormat="1" ht="19.5">
      <c r="A398" s="81"/>
      <c r="B398" s="82"/>
      <c r="C398" s="81"/>
      <c r="D398" s="89"/>
      <c r="E398" s="186"/>
      <c r="F398" s="186"/>
      <c r="G398" s="75"/>
      <c r="H398" s="231" t="s">
        <v>505</v>
      </c>
      <c r="I398" s="77">
        <v>668</v>
      </c>
      <c r="J398" s="78">
        <v>10</v>
      </c>
      <c r="K398" s="78">
        <v>3</v>
      </c>
      <c r="L398" s="79"/>
      <c r="M398" s="80"/>
      <c r="N398" s="80"/>
      <c r="O398" s="80"/>
      <c r="P398" s="77"/>
      <c r="Q398" s="123">
        <f>Q405+Q409+Q399</f>
        <v>9205.599999999999</v>
      </c>
      <c r="R398" s="123">
        <f>R405+R409+R399</f>
        <v>9205.5</v>
      </c>
      <c r="S398" s="283"/>
      <c r="T398" s="230"/>
    </row>
    <row r="399" spans="1:20" ht="31.5">
      <c r="A399" s="50"/>
      <c r="B399" s="49"/>
      <c r="C399" s="54"/>
      <c r="D399" s="52"/>
      <c r="E399" s="64"/>
      <c r="F399" s="64"/>
      <c r="G399" s="56"/>
      <c r="H399" s="240" t="s">
        <v>503</v>
      </c>
      <c r="I399" s="7">
        <v>668</v>
      </c>
      <c r="J399" s="12">
        <v>10</v>
      </c>
      <c r="K399" s="12">
        <v>3</v>
      </c>
      <c r="L399" s="46" t="s">
        <v>234</v>
      </c>
      <c r="M399" s="47" t="s">
        <v>222</v>
      </c>
      <c r="N399" s="47" t="s">
        <v>222</v>
      </c>
      <c r="O399" s="47" t="s">
        <v>240</v>
      </c>
      <c r="P399" s="7"/>
      <c r="Q399" s="124">
        <f>Q400</f>
        <v>373.8</v>
      </c>
      <c r="R399" s="124">
        <f>R400</f>
        <v>373.8</v>
      </c>
      <c r="T399" s="230"/>
    </row>
    <row r="400" spans="1:20" ht="18.75">
      <c r="A400" s="50"/>
      <c r="B400" s="49"/>
      <c r="C400" s="54"/>
      <c r="D400" s="52"/>
      <c r="E400" s="64"/>
      <c r="F400" s="64"/>
      <c r="G400" s="40"/>
      <c r="H400" s="240" t="s">
        <v>506</v>
      </c>
      <c r="I400" s="7">
        <v>668</v>
      </c>
      <c r="J400" s="12">
        <v>10</v>
      </c>
      <c r="K400" s="12">
        <v>3</v>
      </c>
      <c r="L400" s="46" t="s">
        <v>234</v>
      </c>
      <c r="M400" s="47" t="s">
        <v>222</v>
      </c>
      <c r="N400" s="47" t="s">
        <v>235</v>
      </c>
      <c r="O400" s="47" t="s">
        <v>240</v>
      </c>
      <c r="P400" s="7"/>
      <c r="Q400" s="124">
        <f>Q404+Q402</f>
        <v>373.8</v>
      </c>
      <c r="R400" s="124">
        <f>R404+R402</f>
        <v>373.8</v>
      </c>
      <c r="T400" s="230"/>
    </row>
    <row r="401" spans="1:20" ht="31.5">
      <c r="A401" s="50"/>
      <c r="B401" s="49"/>
      <c r="C401" s="54"/>
      <c r="D401" s="52"/>
      <c r="E401" s="64"/>
      <c r="F401" s="64"/>
      <c r="G401" s="40"/>
      <c r="H401" s="240" t="s">
        <v>0</v>
      </c>
      <c r="I401" s="7">
        <v>668</v>
      </c>
      <c r="J401" s="12">
        <v>10</v>
      </c>
      <c r="K401" s="12">
        <v>3</v>
      </c>
      <c r="L401" s="46" t="s">
        <v>234</v>
      </c>
      <c r="M401" s="47" t="s">
        <v>222</v>
      </c>
      <c r="N401" s="47" t="s">
        <v>235</v>
      </c>
      <c r="O401" s="47" t="s">
        <v>1</v>
      </c>
      <c r="P401" s="7"/>
      <c r="Q401" s="124">
        <f>Q402</f>
        <v>51</v>
      </c>
      <c r="R401" s="124">
        <f>R402</f>
        <v>51</v>
      </c>
      <c r="T401" s="230"/>
    </row>
    <row r="402" spans="1:20" ht="18.75">
      <c r="A402" s="50"/>
      <c r="B402" s="49"/>
      <c r="C402" s="54"/>
      <c r="D402" s="52"/>
      <c r="E402" s="64"/>
      <c r="F402" s="64"/>
      <c r="G402" s="40"/>
      <c r="H402" s="240" t="s">
        <v>281</v>
      </c>
      <c r="I402" s="7">
        <v>668</v>
      </c>
      <c r="J402" s="12">
        <v>10</v>
      </c>
      <c r="K402" s="12">
        <v>3</v>
      </c>
      <c r="L402" s="46" t="s">
        <v>234</v>
      </c>
      <c r="M402" s="47" t="s">
        <v>222</v>
      </c>
      <c r="N402" s="47" t="s">
        <v>235</v>
      </c>
      <c r="O402" s="47" t="s">
        <v>1</v>
      </c>
      <c r="P402" s="7">
        <v>310</v>
      </c>
      <c r="Q402" s="124">
        <f>108-3.2-53.8</f>
        <v>51</v>
      </c>
      <c r="R402" s="124">
        <v>51</v>
      </c>
      <c r="T402" s="230"/>
    </row>
    <row r="403" spans="1:20" ht="18.75">
      <c r="A403" s="50"/>
      <c r="B403" s="49"/>
      <c r="C403" s="54"/>
      <c r="D403" s="52"/>
      <c r="E403" s="64"/>
      <c r="F403" s="64"/>
      <c r="G403" s="40"/>
      <c r="H403" s="240" t="s">
        <v>473</v>
      </c>
      <c r="I403" s="7">
        <v>668</v>
      </c>
      <c r="J403" s="12">
        <v>10</v>
      </c>
      <c r="K403" s="12">
        <v>3</v>
      </c>
      <c r="L403" s="46" t="s">
        <v>234</v>
      </c>
      <c r="M403" s="47" t="s">
        <v>222</v>
      </c>
      <c r="N403" s="47" t="s">
        <v>235</v>
      </c>
      <c r="O403" s="47" t="s">
        <v>462</v>
      </c>
      <c r="P403" s="7"/>
      <c r="Q403" s="124">
        <f>Q404</f>
        <v>322.8</v>
      </c>
      <c r="R403" s="124">
        <f>R404</f>
        <v>322.8</v>
      </c>
      <c r="T403" s="230"/>
    </row>
    <row r="404" spans="1:20" ht="18.75">
      <c r="A404" s="50"/>
      <c r="B404" s="49"/>
      <c r="C404" s="54"/>
      <c r="D404" s="52"/>
      <c r="E404" s="64"/>
      <c r="F404" s="64"/>
      <c r="G404" s="40"/>
      <c r="H404" s="240" t="s">
        <v>463</v>
      </c>
      <c r="I404" s="7">
        <v>668</v>
      </c>
      <c r="J404" s="12">
        <v>10</v>
      </c>
      <c r="K404" s="12">
        <v>3</v>
      </c>
      <c r="L404" s="46" t="s">
        <v>234</v>
      </c>
      <c r="M404" s="47" t="s">
        <v>222</v>
      </c>
      <c r="N404" s="47" t="s">
        <v>235</v>
      </c>
      <c r="O404" s="47" t="s">
        <v>462</v>
      </c>
      <c r="P404" s="7">
        <v>330</v>
      </c>
      <c r="Q404" s="124">
        <f>372-1-48.2</f>
        <v>322.8</v>
      </c>
      <c r="R404" s="124">
        <v>322.8</v>
      </c>
      <c r="T404" s="230"/>
    </row>
    <row r="405" spans="1:20" ht="31.5">
      <c r="A405" s="50"/>
      <c r="B405" s="49"/>
      <c r="C405" s="54"/>
      <c r="D405" s="52"/>
      <c r="E405" s="64"/>
      <c r="F405" s="64"/>
      <c r="G405" s="40"/>
      <c r="H405" s="240" t="s">
        <v>0</v>
      </c>
      <c r="I405" s="7">
        <v>668</v>
      </c>
      <c r="J405" s="12">
        <v>10</v>
      </c>
      <c r="K405" s="12">
        <v>3</v>
      </c>
      <c r="L405" s="46" t="s">
        <v>601</v>
      </c>
      <c r="M405" s="47" t="s">
        <v>222</v>
      </c>
      <c r="N405" s="47" t="s">
        <v>231</v>
      </c>
      <c r="O405" s="47" t="s">
        <v>240</v>
      </c>
      <c r="P405" s="7"/>
      <c r="Q405" s="124">
        <f aca="true" t="shared" si="19" ref="Q405:R407">Q406</f>
        <v>992.9000000000001</v>
      </c>
      <c r="R405" s="124">
        <f t="shared" si="19"/>
        <v>992.9</v>
      </c>
      <c r="T405" s="230"/>
    </row>
    <row r="406" spans="1:20" ht="18.75">
      <c r="A406" s="50"/>
      <c r="B406" s="49"/>
      <c r="C406" s="54"/>
      <c r="D406" s="52"/>
      <c r="E406" s="64"/>
      <c r="F406" s="64"/>
      <c r="G406" s="40"/>
      <c r="H406" s="240" t="s">
        <v>613</v>
      </c>
      <c r="I406" s="7">
        <v>668</v>
      </c>
      <c r="J406" s="12">
        <v>10</v>
      </c>
      <c r="K406" s="12">
        <v>3</v>
      </c>
      <c r="L406" s="46" t="s">
        <v>601</v>
      </c>
      <c r="M406" s="47" t="s">
        <v>222</v>
      </c>
      <c r="N406" s="47" t="s">
        <v>233</v>
      </c>
      <c r="O406" s="47" t="s">
        <v>240</v>
      </c>
      <c r="P406" s="7"/>
      <c r="Q406" s="124">
        <f t="shared" si="19"/>
        <v>992.9000000000001</v>
      </c>
      <c r="R406" s="124">
        <f t="shared" si="19"/>
        <v>992.9</v>
      </c>
      <c r="T406" s="230"/>
    </row>
    <row r="407" spans="1:20" ht="18.75">
      <c r="A407" s="50"/>
      <c r="B407" s="49"/>
      <c r="C407" s="54"/>
      <c r="D407" s="52"/>
      <c r="E407" s="64"/>
      <c r="F407" s="64"/>
      <c r="G407" s="40"/>
      <c r="H407" s="240" t="s">
        <v>265</v>
      </c>
      <c r="I407" s="7">
        <v>668</v>
      </c>
      <c r="J407" s="12">
        <v>10</v>
      </c>
      <c r="K407" s="12">
        <v>3</v>
      </c>
      <c r="L407" s="46" t="s">
        <v>601</v>
      </c>
      <c r="M407" s="47" t="s">
        <v>222</v>
      </c>
      <c r="N407" s="47" t="s">
        <v>233</v>
      </c>
      <c r="O407" s="47" t="s">
        <v>15</v>
      </c>
      <c r="P407" s="7"/>
      <c r="Q407" s="124">
        <f t="shared" si="19"/>
        <v>992.9000000000001</v>
      </c>
      <c r="R407" s="124">
        <f t="shared" si="19"/>
        <v>992.9</v>
      </c>
      <c r="T407" s="230"/>
    </row>
    <row r="408" spans="1:20" ht="18.75">
      <c r="A408" s="50"/>
      <c r="B408" s="49"/>
      <c r="C408" s="54"/>
      <c r="D408" s="52"/>
      <c r="E408" s="64"/>
      <c r="F408" s="64"/>
      <c r="G408" s="40"/>
      <c r="H408" s="240" t="s">
        <v>282</v>
      </c>
      <c r="I408" s="7">
        <v>668</v>
      </c>
      <c r="J408" s="12">
        <v>10</v>
      </c>
      <c r="K408" s="12">
        <v>3</v>
      </c>
      <c r="L408" s="46" t="s">
        <v>601</v>
      </c>
      <c r="M408" s="47" t="s">
        <v>222</v>
      </c>
      <c r="N408" s="47" t="s">
        <v>233</v>
      </c>
      <c r="O408" s="47" t="s">
        <v>15</v>
      </c>
      <c r="P408" s="7">
        <v>320</v>
      </c>
      <c r="Q408" s="124">
        <f>920.4+118.8-46.3</f>
        <v>992.9000000000001</v>
      </c>
      <c r="R408" s="124">
        <v>992.9</v>
      </c>
      <c r="T408" s="230"/>
    </row>
    <row r="409" spans="1:20" ht="31.5">
      <c r="A409" s="50"/>
      <c r="B409" s="49"/>
      <c r="C409" s="54"/>
      <c r="D409" s="52"/>
      <c r="E409" s="64"/>
      <c r="F409" s="64"/>
      <c r="G409" s="40"/>
      <c r="H409" s="8" t="s">
        <v>509</v>
      </c>
      <c r="I409" s="3">
        <v>668</v>
      </c>
      <c r="J409" s="12">
        <v>10</v>
      </c>
      <c r="K409" s="12">
        <v>3</v>
      </c>
      <c r="L409" s="46" t="s">
        <v>510</v>
      </c>
      <c r="M409" s="47" t="s">
        <v>222</v>
      </c>
      <c r="N409" s="47" t="s">
        <v>231</v>
      </c>
      <c r="O409" s="47" t="s">
        <v>240</v>
      </c>
      <c r="P409" s="7"/>
      <c r="Q409" s="124">
        <f>Q413+Q410</f>
        <v>7838.9</v>
      </c>
      <c r="R409" s="124">
        <f>R413+R410</f>
        <v>7838.8</v>
      </c>
      <c r="T409" s="230"/>
    </row>
    <row r="410" spans="1:20" ht="31.5">
      <c r="A410" s="50"/>
      <c r="B410" s="49"/>
      <c r="C410" s="54"/>
      <c r="D410" s="52"/>
      <c r="E410" s="64"/>
      <c r="F410" s="64"/>
      <c r="G410" s="40"/>
      <c r="H410" s="8" t="s">
        <v>513</v>
      </c>
      <c r="I410" s="7">
        <v>668</v>
      </c>
      <c r="J410" s="12">
        <v>10</v>
      </c>
      <c r="K410" s="12">
        <v>3</v>
      </c>
      <c r="L410" s="46" t="s">
        <v>510</v>
      </c>
      <c r="M410" s="47" t="s">
        <v>222</v>
      </c>
      <c r="N410" s="47" t="s">
        <v>225</v>
      </c>
      <c r="O410" s="47" t="s">
        <v>240</v>
      </c>
      <c r="P410" s="7"/>
      <c r="Q410" s="124">
        <f>Q411</f>
        <v>1600</v>
      </c>
      <c r="R410" s="124">
        <f>R411</f>
        <v>1600</v>
      </c>
      <c r="T410" s="230"/>
    </row>
    <row r="411" spans="1:20" ht="47.25">
      <c r="A411" s="50"/>
      <c r="B411" s="49"/>
      <c r="C411" s="54"/>
      <c r="D411" s="52"/>
      <c r="E411" s="64"/>
      <c r="F411" s="64"/>
      <c r="G411" s="40"/>
      <c r="H411" s="8" t="s">
        <v>614</v>
      </c>
      <c r="I411" s="7">
        <v>668</v>
      </c>
      <c r="J411" s="12">
        <v>10</v>
      </c>
      <c r="K411" s="12">
        <v>3</v>
      </c>
      <c r="L411" s="46" t="s">
        <v>510</v>
      </c>
      <c r="M411" s="47" t="s">
        <v>222</v>
      </c>
      <c r="N411" s="47" t="s">
        <v>225</v>
      </c>
      <c r="O411" s="47" t="s">
        <v>32</v>
      </c>
      <c r="P411" s="7"/>
      <c r="Q411" s="124">
        <f>Q412</f>
        <v>1600</v>
      </c>
      <c r="R411" s="124">
        <f>R412</f>
        <v>1600</v>
      </c>
      <c r="T411" s="230"/>
    </row>
    <row r="412" spans="1:20" ht="18.75">
      <c r="A412" s="50"/>
      <c r="B412" s="49"/>
      <c r="C412" s="54"/>
      <c r="D412" s="52"/>
      <c r="E412" s="64"/>
      <c r="F412" s="64"/>
      <c r="G412" s="40"/>
      <c r="H412" s="240" t="s">
        <v>282</v>
      </c>
      <c r="I412" s="7">
        <v>668</v>
      </c>
      <c r="J412" s="12">
        <v>10</v>
      </c>
      <c r="K412" s="12">
        <v>3</v>
      </c>
      <c r="L412" s="46" t="s">
        <v>510</v>
      </c>
      <c r="M412" s="47" t="s">
        <v>222</v>
      </c>
      <c r="N412" s="47" t="s">
        <v>225</v>
      </c>
      <c r="O412" s="47" t="s">
        <v>32</v>
      </c>
      <c r="P412" s="7">
        <v>320</v>
      </c>
      <c r="Q412" s="124">
        <f>1600</f>
        <v>1600</v>
      </c>
      <c r="R412" s="124">
        <v>1600</v>
      </c>
      <c r="T412" s="230"/>
    </row>
    <row r="413" spans="1:20" ht="63">
      <c r="A413" s="50"/>
      <c r="B413" s="49"/>
      <c r="C413" s="54"/>
      <c r="D413" s="52"/>
      <c r="E413" s="64"/>
      <c r="F413" s="64"/>
      <c r="G413" s="40"/>
      <c r="H413" s="8" t="s">
        <v>610</v>
      </c>
      <c r="I413" s="7">
        <v>668</v>
      </c>
      <c r="J413" s="12">
        <v>10</v>
      </c>
      <c r="K413" s="12">
        <v>3</v>
      </c>
      <c r="L413" s="46" t="s">
        <v>510</v>
      </c>
      <c r="M413" s="47" t="s">
        <v>222</v>
      </c>
      <c r="N413" s="47" t="s">
        <v>227</v>
      </c>
      <c r="O413" s="47" t="s">
        <v>240</v>
      </c>
      <c r="P413" s="7"/>
      <c r="Q413" s="124">
        <f>Q414+Q417</f>
        <v>6238.9</v>
      </c>
      <c r="R413" s="124">
        <f>R414+R417</f>
        <v>6238.8</v>
      </c>
      <c r="T413" s="230"/>
    </row>
    <row r="414" spans="1:20" ht="18.75">
      <c r="A414" s="50"/>
      <c r="B414" s="49"/>
      <c r="C414" s="54"/>
      <c r="D414" s="52"/>
      <c r="E414" s="64"/>
      <c r="F414" s="64"/>
      <c r="G414" s="40"/>
      <c r="H414" s="8" t="s">
        <v>43</v>
      </c>
      <c r="I414" s="7">
        <v>668</v>
      </c>
      <c r="J414" s="12">
        <v>10</v>
      </c>
      <c r="K414" s="12">
        <v>3</v>
      </c>
      <c r="L414" s="46" t="s">
        <v>510</v>
      </c>
      <c r="M414" s="47" t="s">
        <v>222</v>
      </c>
      <c r="N414" s="47" t="s">
        <v>227</v>
      </c>
      <c r="O414" s="47" t="s">
        <v>42</v>
      </c>
      <c r="P414" s="7"/>
      <c r="Q414" s="124">
        <f>Q415</f>
        <v>443.9</v>
      </c>
      <c r="R414" s="124">
        <f>R415</f>
        <v>443.8</v>
      </c>
      <c r="T414" s="230"/>
    </row>
    <row r="415" spans="1:20" ht="18.75">
      <c r="A415" s="50"/>
      <c r="B415" s="49"/>
      <c r="C415" s="54"/>
      <c r="D415" s="52"/>
      <c r="E415" s="64"/>
      <c r="F415" s="64"/>
      <c r="G415" s="40"/>
      <c r="H415" s="2" t="s">
        <v>281</v>
      </c>
      <c r="I415" s="3">
        <v>668</v>
      </c>
      <c r="J415" s="12">
        <v>10</v>
      </c>
      <c r="K415" s="12">
        <v>3</v>
      </c>
      <c r="L415" s="46" t="s">
        <v>510</v>
      </c>
      <c r="M415" s="47" t="s">
        <v>222</v>
      </c>
      <c r="N415" s="47" t="s">
        <v>227</v>
      </c>
      <c r="O415" s="47" t="s">
        <v>42</v>
      </c>
      <c r="P415" s="7">
        <v>310</v>
      </c>
      <c r="Q415" s="124">
        <f>420-50+50+23.9</f>
        <v>443.9</v>
      </c>
      <c r="R415" s="124">
        <v>443.8</v>
      </c>
      <c r="T415" s="230"/>
    </row>
    <row r="416" spans="1:20" ht="31.5">
      <c r="A416" s="50"/>
      <c r="B416" s="49"/>
      <c r="C416" s="54"/>
      <c r="D416" s="52"/>
      <c r="E416" s="64"/>
      <c r="F416" s="64"/>
      <c r="G416" s="40"/>
      <c r="H416" s="2" t="s">
        <v>615</v>
      </c>
      <c r="I416" s="7">
        <v>668</v>
      </c>
      <c r="J416" s="12">
        <v>10</v>
      </c>
      <c r="K416" s="12">
        <v>3</v>
      </c>
      <c r="L416" s="46" t="s">
        <v>510</v>
      </c>
      <c r="M416" s="47" t="s">
        <v>222</v>
      </c>
      <c r="N416" s="47" t="s">
        <v>227</v>
      </c>
      <c r="O416" s="47" t="s">
        <v>616</v>
      </c>
      <c r="P416" s="7"/>
      <c r="Q416" s="124">
        <f>Q417</f>
        <v>5795</v>
      </c>
      <c r="R416" s="124">
        <f>R417</f>
        <v>5795</v>
      </c>
      <c r="T416" s="230"/>
    </row>
    <row r="417" spans="1:20" ht="18.75">
      <c r="A417" s="50"/>
      <c r="B417" s="49"/>
      <c r="C417" s="54"/>
      <c r="D417" s="52"/>
      <c r="E417" s="64"/>
      <c r="F417" s="64"/>
      <c r="G417" s="40"/>
      <c r="H417" s="2" t="s">
        <v>282</v>
      </c>
      <c r="I417" s="7">
        <v>668</v>
      </c>
      <c r="J417" s="12">
        <v>10</v>
      </c>
      <c r="K417" s="12">
        <v>3</v>
      </c>
      <c r="L417" s="46" t="s">
        <v>510</v>
      </c>
      <c r="M417" s="47" t="s">
        <v>222</v>
      </c>
      <c r="N417" s="47" t="s">
        <v>227</v>
      </c>
      <c r="O417" s="47" t="s">
        <v>616</v>
      </c>
      <c r="P417" s="7">
        <v>320</v>
      </c>
      <c r="Q417" s="124">
        <f>7625-1830</f>
        <v>5795</v>
      </c>
      <c r="R417" s="124">
        <v>5795</v>
      </c>
      <c r="T417" s="230"/>
    </row>
    <row r="418" spans="1:20" ht="19.5">
      <c r="A418" s="50"/>
      <c r="B418" s="49"/>
      <c r="C418" s="54"/>
      <c r="D418" s="52"/>
      <c r="E418" s="64"/>
      <c r="F418" s="64"/>
      <c r="G418" s="40"/>
      <c r="H418" s="253" t="s">
        <v>213</v>
      </c>
      <c r="I418" s="77">
        <v>668</v>
      </c>
      <c r="J418" s="78">
        <v>10</v>
      </c>
      <c r="K418" s="78">
        <v>6</v>
      </c>
      <c r="L418" s="79"/>
      <c r="M418" s="80"/>
      <c r="N418" s="80"/>
      <c r="O418" s="80"/>
      <c r="P418" s="77"/>
      <c r="Q418" s="123">
        <f>Q419+Q427</f>
        <v>1566.4</v>
      </c>
      <c r="R418" s="123">
        <f>R419+R427</f>
        <v>1558.4</v>
      </c>
      <c r="T418" s="230"/>
    </row>
    <row r="419" spans="1:20" ht="31.5">
      <c r="A419" s="50"/>
      <c r="B419" s="49"/>
      <c r="C419" s="54"/>
      <c r="D419" s="52"/>
      <c r="E419" s="64"/>
      <c r="F419" s="64"/>
      <c r="G419" s="40"/>
      <c r="H419" s="8" t="s">
        <v>509</v>
      </c>
      <c r="I419" s="7">
        <v>668</v>
      </c>
      <c r="J419" s="12">
        <v>10</v>
      </c>
      <c r="K419" s="12">
        <v>6</v>
      </c>
      <c r="L419" s="46" t="s">
        <v>510</v>
      </c>
      <c r="M419" s="47" t="s">
        <v>222</v>
      </c>
      <c r="N419" s="47" t="s">
        <v>231</v>
      </c>
      <c r="O419" s="47" t="s">
        <v>240</v>
      </c>
      <c r="P419" s="7"/>
      <c r="Q419" s="124">
        <f>Q420+Q423</f>
        <v>1521.4</v>
      </c>
      <c r="R419" s="124">
        <f>R420+R423</f>
        <v>1513.4</v>
      </c>
      <c r="T419" s="230"/>
    </row>
    <row r="420" spans="1:20" ht="31.5">
      <c r="A420" s="50"/>
      <c r="B420" s="49"/>
      <c r="C420" s="54"/>
      <c r="D420" s="52"/>
      <c r="E420" s="64"/>
      <c r="F420" s="64"/>
      <c r="G420" s="40"/>
      <c r="H420" s="1" t="s">
        <v>513</v>
      </c>
      <c r="I420" s="3">
        <v>668</v>
      </c>
      <c r="J420" s="12">
        <v>10</v>
      </c>
      <c r="K420" s="12">
        <v>6</v>
      </c>
      <c r="L420" s="46" t="s">
        <v>510</v>
      </c>
      <c r="M420" s="47" t="s">
        <v>222</v>
      </c>
      <c r="N420" s="47" t="s">
        <v>225</v>
      </c>
      <c r="O420" s="47" t="s">
        <v>240</v>
      </c>
      <c r="P420" s="7"/>
      <c r="Q420" s="124">
        <f>Q421</f>
        <v>1492.4</v>
      </c>
      <c r="R420" s="124">
        <f>R421</f>
        <v>1492.4</v>
      </c>
      <c r="T420" s="230"/>
    </row>
    <row r="421" spans="1:20" ht="18.75">
      <c r="A421" s="50"/>
      <c r="B421" s="49"/>
      <c r="C421" s="54"/>
      <c r="D421" s="52"/>
      <c r="E421" s="64"/>
      <c r="F421" s="64"/>
      <c r="G421" s="40"/>
      <c r="H421" s="173" t="s">
        <v>322</v>
      </c>
      <c r="I421" s="7">
        <v>668</v>
      </c>
      <c r="J421" s="12">
        <v>10</v>
      </c>
      <c r="K421" s="12">
        <v>6</v>
      </c>
      <c r="L421" s="46" t="s">
        <v>510</v>
      </c>
      <c r="M421" s="47" t="s">
        <v>222</v>
      </c>
      <c r="N421" s="47" t="s">
        <v>225</v>
      </c>
      <c r="O421" s="47" t="s">
        <v>321</v>
      </c>
      <c r="P421" s="7"/>
      <c r="Q421" s="124">
        <f>Q422</f>
        <v>1492.4</v>
      </c>
      <c r="R421" s="124">
        <f>R422</f>
        <v>1492.4</v>
      </c>
      <c r="T421" s="230"/>
    </row>
    <row r="422" spans="1:20" s="109" customFormat="1" ht="18.75">
      <c r="A422" s="97"/>
      <c r="B422" s="112"/>
      <c r="C422" s="113"/>
      <c r="D422" s="114"/>
      <c r="E422" s="115"/>
      <c r="F422" s="115"/>
      <c r="G422" s="116"/>
      <c r="H422" s="8" t="s">
        <v>210</v>
      </c>
      <c r="I422" s="7">
        <v>668</v>
      </c>
      <c r="J422" s="12">
        <v>10</v>
      </c>
      <c r="K422" s="12">
        <v>6</v>
      </c>
      <c r="L422" s="46" t="s">
        <v>510</v>
      </c>
      <c r="M422" s="47" t="s">
        <v>222</v>
      </c>
      <c r="N422" s="47" t="s">
        <v>225</v>
      </c>
      <c r="O422" s="47" t="s">
        <v>321</v>
      </c>
      <c r="P422" s="7">
        <v>120</v>
      </c>
      <c r="Q422" s="124">
        <v>1492.4</v>
      </c>
      <c r="R422" s="124">
        <v>1492.4</v>
      </c>
      <c r="S422" s="284"/>
      <c r="T422" s="230"/>
    </row>
    <row r="423" spans="1:20" s="111" customFormat="1" ht="63">
      <c r="A423" s="81"/>
      <c r="B423" s="82"/>
      <c r="C423" s="92"/>
      <c r="D423" s="89"/>
      <c r="E423" s="93"/>
      <c r="F423" s="93"/>
      <c r="G423" s="75"/>
      <c r="H423" s="8" t="s">
        <v>610</v>
      </c>
      <c r="I423" s="7">
        <v>668</v>
      </c>
      <c r="J423" s="12">
        <v>10</v>
      </c>
      <c r="K423" s="12">
        <v>6</v>
      </c>
      <c r="L423" s="46" t="s">
        <v>510</v>
      </c>
      <c r="M423" s="47" t="s">
        <v>222</v>
      </c>
      <c r="N423" s="47" t="s">
        <v>227</v>
      </c>
      <c r="O423" s="47" t="s">
        <v>240</v>
      </c>
      <c r="P423" s="7"/>
      <c r="Q423" s="124">
        <f>Q424</f>
        <v>29</v>
      </c>
      <c r="R423" s="124">
        <f>R424</f>
        <v>21</v>
      </c>
      <c r="S423" s="283"/>
      <c r="T423" s="230"/>
    </row>
    <row r="424" spans="1:20" s="111" customFormat="1" ht="18.75">
      <c r="A424" s="81"/>
      <c r="B424" s="82"/>
      <c r="C424" s="92"/>
      <c r="D424" s="89"/>
      <c r="E424" s="93"/>
      <c r="F424" s="93"/>
      <c r="G424" s="75"/>
      <c r="H424" s="8" t="s">
        <v>364</v>
      </c>
      <c r="I424" s="7">
        <v>668</v>
      </c>
      <c r="J424" s="12">
        <v>10</v>
      </c>
      <c r="K424" s="12">
        <v>6</v>
      </c>
      <c r="L424" s="46" t="s">
        <v>510</v>
      </c>
      <c r="M424" s="47" t="s">
        <v>222</v>
      </c>
      <c r="N424" s="47" t="s">
        <v>227</v>
      </c>
      <c r="O424" s="47" t="s">
        <v>35</v>
      </c>
      <c r="P424" s="7"/>
      <c r="Q424" s="124">
        <f>Q425+Q426</f>
        <v>29</v>
      </c>
      <c r="R424" s="124">
        <f>R425+R426</f>
        <v>21</v>
      </c>
      <c r="S424" s="283"/>
      <c r="T424" s="230"/>
    </row>
    <row r="425" spans="1:20" s="111" customFormat="1" ht="18.75">
      <c r="A425" s="81"/>
      <c r="B425" s="82"/>
      <c r="C425" s="92"/>
      <c r="D425" s="89"/>
      <c r="E425" s="93"/>
      <c r="F425" s="93"/>
      <c r="G425" s="75"/>
      <c r="H425" s="2" t="s">
        <v>277</v>
      </c>
      <c r="I425" s="7">
        <v>668</v>
      </c>
      <c r="J425" s="12">
        <v>10</v>
      </c>
      <c r="K425" s="12">
        <v>6</v>
      </c>
      <c r="L425" s="46" t="s">
        <v>510</v>
      </c>
      <c r="M425" s="47" t="s">
        <v>222</v>
      </c>
      <c r="N425" s="47" t="s">
        <v>227</v>
      </c>
      <c r="O425" s="47" t="s">
        <v>35</v>
      </c>
      <c r="P425" s="7">
        <v>240</v>
      </c>
      <c r="Q425" s="124">
        <f>10+18-20</f>
        <v>8</v>
      </c>
      <c r="R425" s="124">
        <v>0</v>
      </c>
      <c r="S425" s="283"/>
      <c r="T425" s="230"/>
    </row>
    <row r="426" spans="1:20" ht="18.75">
      <c r="A426" s="48"/>
      <c r="B426" s="49"/>
      <c r="C426" s="54"/>
      <c r="D426" s="52"/>
      <c r="E426" s="64"/>
      <c r="F426" s="64"/>
      <c r="G426" s="40"/>
      <c r="H426" s="1" t="s">
        <v>334</v>
      </c>
      <c r="I426" s="7">
        <v>668</v>
      </c>
      <c r="J426" s="12">
        <v>10</v>
      </c>
      <c r="K426" s="12">
        <v>6</v>
      </c>
      <c r="L426" s="46" t="s">
        <v>510</v>
      </c>
      <c r="M426" s="47" t="s">
        <v>222</v>
      </c>
      <c r="N426" s="47" t="s">
        <v>227</v>
      </c>
      <c r="O426" s="47" t="s">
        <v>35</v>
      </c>
      <c r="P426" s="7">
        <v>350</v>
      </c>
      <c r="Q426" s="124">
        <f>30-9</f>
        <v>21</v>
      </c>
      <c r="R426" s="124">
        <v>21</v>
      </c>
      <c r="T426" s="230"/>
    </row>
    <row r="427" spans="1:20" ht="31.5">
      <c r="A427" s="48"/>
      <c r="B427" s="49"/>
      <c r="C427" s="54"/>
      <c r="D427" s="52"/>
      <c r="E427" s="64"/>
      <c r="F427" s="64"/>
      <c r="G427" s="40"/>
      <c r="H427" s="1" t="s">
        <v>617</v>
      </c>
      <c r="I427" s="3">
        <v>668</v>
      </c>
      <c r="J427" s="12">
        <v>10</v>
      </c>
      <c r="K427" s="12">
        <v>6</v>
      </c>
      <c r="L427" s="46" t="s">
        <v>618</v>
      </c>
      <c r="M427" s="47" t="s">
        <v>222</v>
      </c>
      <c r="N427" s="47" t="s">
        <v>231</v>
      </c>
      <c r="O427" s="47" t="s">
        <v>240</v>
      </c>
      <c r="P427" s="7"/>
      <c r="Q427" s="124">
        <f aca="true" t="shared" si="20" ref="Q427:R429">Q428</f>
        <v>45</v>
      </c>
      <c r="R427" s="124">
        <f t="shared" si="20"/>
        <v>45</v>
      </c>
      <c r="T427" s="230"/>
    </row>
    <row r="428" spans="1:20" ht="31.5">
      <c r="A428" s="48"/>
      <c r="B428" s="49"/>
      <c r="C428" s="54"/>
      <c r="D428" s="52"/>
      <c r="E428" s="64"/>
      <c r="F428" s="64"/>
      <c r="G428" s="40"/>
      <c r="H428" s="8" t="s">
        <v>476</v>
      </c>
      <c r="I428" s="7">
        <v>668</v>
      </c>
      <c r="J428" s="12">
        <v>10</v>
      </c>
      <c r="K428" s="12">
        <v>6</v>
      </c>
      <c r="L428" s="46" t="s">
        <v>618</v>
      </c>
      <c r="M428" s="47" t="s">
        <v>222</v>
      </c>
      <c r="N428" s="47" t="s">
        <v>223</v>
      </c>
      <c r="O428" s="47" t="s">
        <v>240</v>
      </c>
      <c r="P428" s="7"/>
      <c r="Q428" s="124">
        <f t="shared" si="20"/>
        <v>45</v>
      </c>
      <c r="R428" s="124">
        <f t="shared" si="20"/>
        <v>45</v>
      </c>
      <c r="T428" s="230"/>
    </row>
    <row r="429" spans="1:20" ht="18.75">
      <c r="A429" s="48"/>
      <c r="B429" s="49"/>
      <c r="C429" s="54"/>
      <c r="D429" s="52"/>
      <c r="E429" s="64"/>
      <c r="F429" s="64"/>
      <c r="G429" s="40"/>
      <c r="H429" s="1" t="s">
        <v>475</v>
      </c>
      <c r="I429" s="3">
        <v>668</v>
      </c>
      <c r="J429" s="12">
        <v>10</v>
      </c>
      <c r="K429" s="12">
        <v>6</v>
      </c>
      <c r="L429" s="46" t="s">
        <v>618</v>
      </c>
      <c r="M429" s="47" t="s">
        <v>222</v>
      </c>
      <c r="N429" s="47" t="s">
        <v>223</v>
      </c>
      <c r="O429" s="47" t="s">
        <v>474</v>
      </c>
      <c r="P429" s="7"/>
      <c r="Q429" s="124">
        <f t="shared" si="20"/>
        <v>45</v>
      </c>
      <c r="R429" s="124">
        <f t="shared" si="20"/>
        <v>45</v>
      </c>
      <c r="T429" s="230"/>
    </row>
    <row r="430" spans="1:20" ht="31.5">
      <c r="A430" s="48"/>
      <c r="B430" s="49"/>
      <c r="C430" s="54"/>
      <c r="D430" s="52"/>
      <c r="E430" s="64"/>
      <c r="F430" s="64"/>
      <c r="G430" s="40"/>
      <c r="H430" s="173" t="s">
        <v>434</v>
      </c>
      <c r="I430" s="7">
        <v>668</v>
      </c>
      <c r="J430" s="12">
        <v>10</v>
      </c>
      <c r="K430" s="12">
        <v>6</v>
      </c>
      <c r="L430" s="46" t="s">
        <v>618</v>
      </c>
      <c r="M430" s="47" t="s">
        <v>222</v>
      </c>
      <c r="N430" s="47" t="s">
        <v>223</v>
      </c>
      <c r="O430" s="47" t="s">
        <v>474</v>
      </c>
      <c r="P430" s="7">
        <v>630</v>
      </c>
      <c r="Q430" s="124">
        <v>45</v>
      </c>
      <c r="R430" s="124">
        <v>45</v>
      </c>
      <c r="T430" s="230"/>
    </row>
    <row r="431" spans="1:20" ht="19.5">
      <c r="A431" s="48"/>
      <c r="B431" s="49"/>
      <c r="C431" s="54"/>
      <c r="D431" s="52"/>
      <c r="E431" s="64"/>
      <c r="F431" s="64"/>
      <c r="G431" s="40"/>
      <c r="H431" s="256" t="s">
        <v>619</v>
      </c>
      <c r="I431" s="77">
        <v>668</v>
      </c>
      <c r="J431" s="78">
        <v>11</v>
      </c>
      <c r="K431" s="78" t="s">
        <v>241</v>
      </c>
      <c r="L431" s="79"/>
      <c r="M431" s="80"/>
      <c r="N431" s="80"/>
      <c r="O431" s="80"/>
      <c r="P431" s="77"/>
      <c r="Q431" s="123">
        <f>Q432</f>
        <v>32753</v>
      </c>
      <c r="R431" s="123">
        <f>R432</f>
        <v>25610.700000000004</v>
      </c>
      <c r="T431" s="230"/>
    </row>
    <row r="432" spans="1:20" ht="19.5">
      <c r="A432" s="48"/>
      <c r="B432" s="49"/>
      <c r="C432" s="54"/>
      <c r="D432" s="52"/>
      <c r="E432" s="64"/>
      <c r="F432" s="64"/>
      <c r="G432" s="40"/>
      <c r="H432" s="256" t="s">
        <v>620</v>
      </c>
      <c r="I432" s="85">
        <v>668</v>
      </c>
      <c r="J432" s="78">
        <v>11</v>
      </c>
      <c r="K432" s="78">
        <v>1</v>
      </c>
      <c r="L432" s="79"/>
      <c r="M432" s="80"/>
      <c r="N432" s="80"/>
      <c r="O432" s="80"/>
      <c r="P432" s="77"/>
      <c r="Q432" s="123">
        <f>Q437+Q433</f>
        <v>32753</v>
      </c>
      <c r="R432" s="123">
        <f>R437+R433</f>
        <v>25610.700000000004</v>
      </c>
      <c r="T432" s="230"/>
    </row>
    <row r="433" spans="1:20" s="111" customFormat="1" ht="31.5">
      <c r="A433" s="81"/>
      <c r="B433" s="82"/>
      <c r="C433" s="92"/>
      <c r="D433" s="89"/>
      <c r="E433" s="93"/>
      <c r="F433" s="93"/>
      <c r="G433" s="75"/>
      <c r="H433" s="257" t="s">
        <v>597</v>
      </c>
      <c r="I433" s="7">
        <v>668</v>
      </c>
      <c r="J433" s="12">
        <v>11</v>
      </c>
      <c r="K433" s="12">
        <v>1</v>
      </c>
      <c r="L433" s="46" t="s">
        <v>223</v>
      </c>
      <c r="M433" s="47" t="s">
        <v>222</v>
      </c>
      <c r="N433" s="47" t="s">
        <v>231</v>
      </c>
      <c r="O433" s="47" t="s">
        <v>240</v>
      </c>
      <c r="P433" s="7"/>
      <c r="Q433" s="124">
        <f aca="true" t="shared" si="21" ref="Q433:R435">Q434</f>
        <v>90</v>
      </c>
      <c r="R433" s="124">
        <f t="shared" si="21"/>
        <v>90</v>
      </c>
      <c r="S433" s="283"/>
      <c r="T433" s="230"/>
    </row>
    <row r="434" spans="1:20" s="111" customFormat="1" ht="31.5">
      <c r="A434" s="81"/>
      <c r="B434" s="82"/>
      <c r="C434" s="92"/>
      <c r="D434" s="89"/>
      <c r="E434" s="93"/>
      <c r="F434" s="93"/>
      <c r="G434" s="75"/>
      <c r="H434" s="257" t="s">
        <v>268</v>
      </c>
      <c r="I434" s="7">
        <v>668</v>
      </c>
      <c r="J434" s="12">
        <v>11</v>
      </c>
      <c r="K434" s="12">
        <v>1</v>
      </c>
      <c r="L434" s="46" t="s">
        <v>223</v>
      </c>
      <c r="M434" s="47" t="s">
        <v>222</v>
      </c>
      <c r="N434" s="47" t="s">
        <v>233</v>
      </c>
      <c r="O434" s="47" t="s">
        <v>240</v>
      </c>
      <c r="P434" s="7"/>
      <c r="Q434" s="124">
        <f t="shared" si="21"/>
        <v>90</v>
      </c>
      <c r="R434" s="124">
        <f t="shared" si="21"/>
        <v>90</v>
      </c>
      <c r="S434" s="283"/>
      <c r="T434" s="230"/>
    </row>
    <row r="435" spans="1:20" ht="18.75">
      <c r="A435" s="48"/>
      <c r="B435" s="49"/>
      <c r="C435" s="54"/>
      <c r="D435" s="52"/>
      <c r="E435" s="64"/>
      <c r="F435" s="64"/>
      <c r="G435" s="40"/>
      <c r="H435" s="246" t="s">
        <v>47</v>
      </c>
      <c r="I435" s="7">
        <v>668</v>
      </c>
      <c r="J435" s="12">
        <v>11</v>
      </c>
      <c r="K435" s="12">
        <v>1</v>
      </c>
      <c r="L435" s="46" t="s">
        <v>223</v>
      </c>
      <c r="M435" s="47" t="s">
        <v>222</v>
      </c>
      <c r="N435" s="47" t="s">
        <v>233</v>
      </c>
      <c r="O435" s="47" t="s">
        <v>46</v>
      </c>
      <c r="P435" s="7"/>
      <c r="Q435" s="124">
        <f t="shared" si="21"/>
        <v>90</v>
      </c>
      <c r="R435" s="124">
        <f t="shared" si="21"/>
        <v>90</v>
      </c>
      <c r="T435" s="230"/>
    </row>
    <row r="436" spans="1:20" ht="18.75">
      <c r="A436" s="48"/>
      <c r="B436" s="49"/>
      <c r="C436" s="54"/>
      <c r="D436" s="52"/>
      <c r="E436" s="64"/>
      <c r="F436" s="64"/>
      <c r="G436" s="40"/>
      <c r="H436" s="257" t="s">
        <v>279</v>
      </c>
      <c r="I436" s="7">
        <v>668</v>
      </c>
      <c r="J436" s="12">
        <v>11</v>
      </c>
      <c r="K436" s="12">
        <v>1</v>
      </c>
      <c r="L436" s="46" t="s">
        <v>223</v>
      </c>
      <c r="M436" s="47" t="s">
        <v>222</v>
      </c>
      <c r="N436" s="47" t="s">
        <v>233</v>
      </c>
      <c r="O436" s="47" t="s">
        <v>46</v>
      </c>
      <c r="P436" s="7">
        <v>610</v>
      </c>
      <c r="Q436" s="124">
        <v>90</v>
      </c>
      <c r="R436" s="124">
        <v>90</v>
      </c>
      <c r="T436" s="230"/>
    </row>
    <row r="437" spans="1:20" ht="31.5">
      <c r="A437" s="48"/>
      <c r="B437" s="49"/>
      <c r="C437" s="54"/>
      <c r="D437" s="52"/>
      <c r="E437" s="64"/>
      <c r="F437" s="64"/>
      <c r="G437" s="40"/>
      <c r="H437" s="173" t="s">
        <v>621</v>
      </c>
      <c r="I437" s="7">
        <v>668</v>
      </c>
      <c r="J437" s="12">
        <v>11</v>
      </c>
      <c r="K437" s="12">
        <v>1</v>
      </c>
      <c r="L437" s="46" t="s">
        <v>235</v>
      </c>
      <c r="M437" s="47" t="s">
        <v>222</v>
      </c>
      <c r="N437" s="47" t="s">
        <v>231</v>
      </c>
      <c r="O437" s="47" t="s">
        <v>240</v>
      </c>
      <c r="P437" s="7"/>
      <c r="Q437" s="124">
        <f>Q441+Q446+Q438</f>
        <v>32663</v>
      </c>
      <c r="R437" s="124">
        <f>R441+R446+R438</f>
        <v>25520.700000000004</v>
      </c>
      <c r="T437" s="230"/>
    </row>
    <row r="438" spans="1:20" ht="31.5">
      <c r="A438" s="48"/>
      <c r="B438" s="49"/>
      <c r="C438" s="54"/>
      <c r="D438" s="52"/>
      <c r="E438" s="64"/>
      <c r="F438" s="64"/>
      <c r="G438" s="40"/>
      <c r="H438" s="173" t="s">
        <v>361</v>
      </c>
      <c r="I438" s="7">
        <v>668</v>
      </c>
      <c r="J438" s="12">
        <v>11</v>
      </c>
      <c r="K438" s="12">
        <v>1</v>
      </c>
      <c r="L438" s="46" t="s">
        <v>235</v>
      </c>
      <c r="M438" s="47" t="s">
        <v>222</v>
      </c>
      <c r="N438" s="47" t="s">
        <v>223</v>
      </c>
      <c r="O438" s="47" t="s">
        <v>240</v>
      </c>
      <c r="P438" s="7"/>
      <c r="Q438" s="124">
        <f>Q439</f>
        <v>200</v>
      </c>
      <c r="R438" s="124">
        <f>R439</f>
        <v>200</v>
      </c>
      <c r="T438" s="230"/>
    </row>
    <row r="439" spans="1:20" ht="18.75">
      <c r="A439" s="48"/>
      <c r="B439" s="49"/>
      <c r="C439" s="54"/>
      <c r="D439" s="52"/>
      <c r="E439" s="64"/>
      <c r="F439" s="64"/>
      <c r="G439" s="40"/>
      <c r="H439" s="1" t="s">
        <v>47</v>
      </c>
      <c r="I439" s="7">
        <v>668</v>
      </c>
      <c r="J439" s="12">
        <v>11</v>
      </c>
      <c r="K439" s="12">
        <v>1</v>
      </c>
      <c r="L439" s="46" t="s">
        <v>235</v>
      </c>
      <c r="M439" s="47" t="s">
        <v>222</v>
      </c>
      <c r="N439" s="47" t="s">
        <v>223</v>
      </c>
      <c r="O439" s="47" t="s">
        <v>46</v>
      </c>
      <c r="P439" s="7"/>
      <c r="Q439" s="124">
        <f>Q440</f>
        <v>200</v>
      </c>
      <c r="R439" s="124">
        <f>R440</f>
        <v>200</v>
      </c>
      <c r="T439" s="230"/>
    </row>
    <row r="440" spans="1:20" ht="18.75">
      <c r="A440" s="48"/>
      <c r="B440" s="49"/>
      <c r="C440" s="54"/>
      <c r="D440" s="52"/>
      <c r="E440" s="64"/>
      <c r="F440" s="64"/>
      <c r="G440" s="40"/>
      <c r="H440" s="8" t="s">
        <v>279</v>
      </c>
      <c r="I440" s="7">
        <v>668</v>
      </c>
      <c r="J440" s="12">
        <v>11</v>
      </c>
      <c r="K440" s="12">
        <v>1</v>
      </c>
      <c r="L440" s="46" t="s">
        <v>235</v>
      </c>
      <c r="M440" s="47" t="s">
        <v>222</v>
      </c>
      <c r="N440" s="47" t="s">
        <v>223</v>
      </c>
      <c r="O440" s="47" t="s">
        <v>46</v>
      </c>
      <c r="P440" s="7">
        <v>610</v>
      </c>
      <c r="Q440" s="124">
        <f>100+40+60</f>
        <v>200</v>
      </c>
      <c r="R440" s="124">
        <v>200</v>
      </c>
      <c r="T440" s="230"/>
    </row>
    <row r="441" spans="1:20" ht="18.75">
      <c r="A441" s="48"/>
      <c r="B441" s="49"/>
      <c r="C441" s="54"/>
      <c r="D441" s="52"/>
      <c r="E441" s="64"/>
      <c r="F441" s="64"/>
      <c r="G441" s="40"/>
      <c r="H441" s="8" t="s">
        <v>48</v>
      </c>
      <c r="I441" s="7">
        <v>668</v>
      </c>
      <c r="J441" s="12">
        <v>11</v>
      </c>
      <c r="K441" s="12">
        <v>1</v>
      </c>
      <c r="L441" s="46" t="s">
        <v>235</v>
      </c>
      <c r="M441" s="47" t="s">
        <v>222</v>
      </c>
      <c r="N441" s="47" t="s">
        <v>234</v>
      </c>
      <c r="O441" s="47" t="s">
        <v>240</v>
      </c>
      <c r="P441" s="7"/>
      <c r="Q441" s="124">
        <f>Q442+Q444</f>
        <v>14082.7</v>
      </c>
      <c r="R441" s="124">
        <f>R442+R444</f>
        <v>14082.7</v>
      </c>
      <c r="T441" s="230"/>
    </row>
    <row r="442" spans="1:20" ht="18.75">
      <c r="A442" s="48"/>
      <c r="B442" s="49"/>
      <c r="C442" s="54"/>
      <c r="D442" s="52"/>
      <c r="E442" s="64"/>
      <c r="F442" s="64"/>
      <c r="G442" s="40"/>
      <c r="H442" s="1" t="s">
        <v>47</v>
      </c>
      <c r="I442" s="3">
        <v>668</v>
      </c>
      <c r="J442" s="12">
        <v>11</v>
      </c>
      <c r="K442" s="12">
        <v>1</v>
      </c>
      <c r="L442" s="46" t="s">
        <v>235</v>
      </c>
      <c r="M442" s="47" t="s">
        <v>222</v>
      </c>
      <c r="N442" s="47" t="s">
        <v>234</v>
      </c>
      <c r="O442" s="47" t="s">
        <v>46</v>
      </c>
      <c r="P442" s="7"/>
      <c r="Q442" s="124">
        <f>Q443</f>
        <v>11947.400000000001</v>
      </c>
      <c r="R442" s="124">
        <f>R443</f>
        <v>11947.4</v>
      </c>
      <c r="T442" s="230"/>
    </row>
    <row r="443" spans="1:20" ht="18.75">
      <c r="A443" s="48"/>
      <c r="B443" s="49"/>
      <c r="C443" s="54"/>
      <c r="D443" s="52"/>
      <c r="E443" s="64"/>
      <c r="F443" s="64"/>
      <c r="G443" s="40"/>
      <c r="H443" s="8" t="s">
        <v>279</v>
      </c>
      <c r="I443" s="7">
        <v>668</v>
      </c>
      <c r="J443" s="12">
        <v>11</v>
      </c>
      <c r="K443" s="12">
        <v>1</v>
      </c>
      <c r="L443" s="46" t="s">
        <v>235</v>
      </c>
      <c r="M443" s="47" t="s">
        <v>222</v>
      </c>
      <c r="N443" s="47" t="s">
        <v>234</v>
      </c>
      <c r="O443" s="47" t="s">
        <v>46</v>
      </c>
      <c r="P443" s="7">
        <v>610</v>
      </c>
      <c r="Q443" s="124">
        <f>10620+646-361.9-3000+986+251.6+2857.1-51.4</f>
        <v>11947.400000000001</v>
      </c>
      <c r="R443" s="124">
        <v>11947.4</v>
      </c>
      <c r="T443" s="230"/>
    </row>
    <row r="444" spans="1:20" ht="31.5">
      <c r="A444" s="48"/>
      <c r="B444" s="49"/>
      <c r="C444" s="54"/>
      <c r="D444" s="52"/>
      <c r="E444" s="64"/>
      <c r="F444" s="64"/>
      <c r="G444" s="40"/>
      <c r="H444" s="8" t="s">
        <v>353</v>
      </c>
      <c r="I444" s="7">
        <v>668</v>
      </c>
      <c r="J444" s="12">
        <v>11</v>
      </c>
      <c r="K444" s="12">
        <v>1</v>
      </c>
      <c r="L444" s="46" t="s">
        <v>235</v>
      </c>
      <c r="M444" s="47" t="s">
        <v>222</v>
      </c>
      <c r="N444" s="47" t="s">
        <v>234</v>
      </c>
      <c r="O444" s="47" t="s">
        <v>352</v>
      </c>
      <c r="P444" s="7"/>
      <c r="Q444" s="124">
        <f>Q445</f>
        <v>2135.3</v>
      </c>
      <c r="R444" s="124">
        <f>R445</f>
        <v>2135.3</v>
      </c>
      <c r="T444" s="230"/>
    </row>
    <row r="445" spans="1:20" ht="18.75">
      <c r="A445" s="48"/>
      <c r="B445" s="49"/>
      <c r="C445" s="54"/>
      <c r="D445" s="52"/>
      <c r="E445" s="64"/>
      <c r="F445" s="64"/>
      <c r="G445" s="40"/>
      <c r="H445" s="8" t="s">
        <v>279</v>
      </c>
      <c r="I445" s="3">
        <v>668</v>
      </c>
      <c r="J445" s="12">
        <v>11</v>
      </c>
      <c r="K445" s="12">
        <v>1</v>
      </c>
      <c r="L445" s="46" t="s">
        <v>235</v>
      </c>
      <c r="M445" s="47" t="s">
        <v>222</v>
      </c>
      <c r="N445" s="47" t="s">
        <v>234</v>
      </c>
      <c r="O445" s="47" t="s">
        <v>352</v>
      </c>
      <c r="P445" s="7">
        <v>610</v>
      </c>
      <c r="Q445" s="124">
        <f>2083.9+51.4</f>
        <v>2135.3</v>
      </c>
      <c r="R445" s="124">
        <v>2135.3</v>
      </c>
      <c r="T445" s="230"/>
    </row>
    <row r="446" spans="1:20" ht="31.5">
      <c r="A446" s="48"/>
      <c r="B446" s="49"/>
      <c r="C446" s="54"/>
      <c r="D446" s="52"/>
      <c r="E446" s="64"/>
      <c r="F446" s="64"/>
      <c r="G446" s="40"/>
      <c r="H446" s="173" t="s">
        <v>433</v>
      </c>
      <c r="I446" s="7">
        <v>668</v>
      </c>
      <c r="J446" s="12">
        <v>11</v>
      </c>
      <c r="K446" s="12">
        <v>1</v>
      </c>
      <c r="L446" s="46" t="s">
        <v>235</v>
      </c>
      <c r="M446" s="47" t="s">
        <v>222</v>
      </c>
      <c r="N446" s="47" t="s">
        <v>235</v>
      </c>
      <c r="O446" s="47" t="s">
        <v>240</v>
      </c>
      <c r="P446" s="7"/>
      <c r="Q446" s="124">
        <f>Q449+Q451+Q453+Q447</f>
        <v>18380.3</v>
      </c>
      <c r="R446" s="124">
        <f>R449+R451+R453+R447</f>
        <v>11238.000000000002</v>
      </c>
      <c r="T446" s="230"/>
    </row>
    <row r="447" spans="1:20" ht="31.5">
      <c r="A447" s="50"/>
      <c r="B447" s="49"/>
      <c r="C447" s="54"/>
      <c r="D447" s="52"/>
      <c r="E447" s="64"/>
      <c r="F447" s="64"/>
      <c r="G447" s="56"/>
      <c r="H447" s="247" t="s">
        <v>622</v>
      </c>
      <c r="I447" s="7">
        <v>668</v>
      </c>
      <c r="J447" s="12">
        <v>11</v>
      </c>
      <c r="K447" s="12">
        <v>1</v>
      </c>
      <c r="L447" s="46" t="s">
        <v>235</v>
      </c>
      <c r="M447" s="47" t="s">
        <v>222</v>
      </c>
      <c r="N447" s="47" t="s">
        <v>235</v>
      </c>
      <c r="O447" s="47" t="s">
        <v>443</v>
      </c>
      <c r="P447" s="7"/>
      <c r="Q447" s="124">
        <f>Q448</f>
        <v>11.6</v>
      </c>
      <c r="R447" s="124">
        <f>R448</f>
        <v>11.6</v>
      </c>
      <c r="T447" s="230"/>
    </row>
    <row r="448" spans="1:20" ht="18.75">
      <c r="A448" s="50"/>
      <c r="B448" s="49"/>
      <c r="C448" s="54"/>
      <c r="D448" s="52"/>
      <c r="E448" s="64"/>
      <c r="F448" s="64"/>
      <c r="G448" s="56"/>
      <c r="H448" s="2" t="s">
        <v>279</v>
      </c>
      <c r="I448" s="7">
        <v>668</v>
      </c>
      <c r="J448" s="12">
        <v>11</v>
      </c>
      <c r="K448" s="12">
        <v>1</v>
      </c>
      <c r="L448" s="46" t="s">
        <v>235</v>
      </c>
      <c r="M448" s="47" t="s">
        <v>222</v>
      </c>
      <c r="N448" s="47" t="s">
        <v>235</v>
      </c>
      <c r="O448" s="47" t="s">
        <v>443</v>
      </c>
      <c r="P448" s="7">
        <v>610</v>
      </c>
      <c r="Q448" s="124">
        <v>11.6</v>
      </c>
      <c r="R448" s="124">
        <v>11.6</v>
      </c>
      <c r="T448" s="230"/>
    </row>
    <row r="449" spans="1:20" ht="31.5">
      <c r="A449" s="50"/>
      <c r="B449" s="49"/>
      <c r="C449" s="54"/>
      <c r="D449" s="52"/>
      <c r="E449" s="64"/>
      <c r="F449" s="64"/>
      <c r="G449" s="56">
        <v>240</v>
      </c>
      <c r="H449" s="8" t="s">
        <v>363</v>
      </c>
      <c r="I449" s="7">
        <v>668</v>
      </c>
      <c r="J449" s="12">
        <v>11</v>
      </c>
      <c r="K449" s="12">
        <v>1</v>
      </c>
      <c r="L449" s="46" t="s">
        <v>235</v>
      </c>
      <c r="M449" s="47" t="s">
        <v>222</v>
      </c>
      <c r="N449" s="47" t="s">
        <v>235</v>
      </c>
      <c r="O449" s="47" t="s">
        <v>255</v>
      </c>
      <c r="P449" s="7"/>
      <c r="Q449" s="124">
        <f>Q450</f>
        <v>666.7</v>
      </c>
      <c r="R449" s="124">
        <f>R450</f>
        <v>666.7</v>
      </c>
      <c r="T449" s="230"/>
    </row>
    <row r="450" spans="1:20" ht="18.75">
      <c r="A450" s="61"/>
      <c r="B450" s="62"/>
      <c r="C450" s="57"/>
      <c r="D450" s="58"/>
      <c r="E450" s="55"/>
      <c r="F450" s="55"/>
      <c r="G450" s="56"/>
      <c r="H450" s="8" t="s">
        <v>279</v>
      </c>
      <c r="I450" s="3">
        <v>668</v>
      </c>
      <c r="J450" s="12">
        <v>11</v>
      </c>
      <c r="K450" s="12">
        <v>1</v>
      </c>
      <c r="L450" s="46" t="s">
        <v>235</v>
      </c>
      <c r="M450" s="47" t="s">
        <v>222</v>
      </c>
      <c r="N450" s="47" t="s">
        <v>235</v>
      </c>
      <c r="O450" s="47" t="s">
        <v>255</v>
      </c>
      <c r="P450" s="7">
        <v>610</v>
      </c>
      <c r="Q450" s="124">
        <v>666.7</v>
      </c>
      <c r="R450" s="124">
        <v>666.7</v>
      </c>
      <c r="T450" s="230"/>
    </row>
    <row r="451" spans="1:20" ht="31.5">
      <c r="A451" s="61"/>
      <c r="B451" s="62"/>
      <c r="C451" s="57"/>
      <c r="D451" s="58"/>
      <c r="E451" s="55"/>
      <c r="F451" s="55"/>
      <c r="G451" s="56"/>
      <c r="H451" s="173" t="s">
        <v>623</v>
      </c>
      <c r="I451" s="7">
        <v>668</v>
      </c>
      <c r="J451" s="12">
        <v>11</v>
      </c>
      <c r="K451" s="12">
        <v>1</v>
      </c>
      <c r="L451" s="46" t="s">
        <v>235</v>
      </c>
      <c r="M451" s="47" t="s">
        <v>222</v>
      </c>
      <c r="N451" s="47" t="s">
        <v>235</v>
      </c>
      <c r="O451" s="47" t="s">
        <v>624</v>
      </c>
      <c r="P451" s="7"/>
      <c r="Q451" s="124">
        <f>Q452</f>
        <v>10352.1</v>
      </c>
      <c r="R451" s="124">
        <f>R452</f>
        <v>10352.1</v>
      </c>
      <c r="T451" s="230"/>
    </row>
    <row r="452" spans="1:20" ht="18.75">
      <c r="A452" s="61"/>
      <c r="B452" s="62"/>
      <c r="C452" s="57"/>
      <c r="D452" s="58"/>
      <c r="E452" s="55"/>
      <c r="F452" s="55"/>
      <c r="G452" s="56"/>
      <c r="H452" s="8" t="s">
        <v>279</v>
      </c>
      <c r="I452" s="7">
        <v>668</v>
      </c>
      <c r="J452" s="12">
        <v>11</v>
      </c>
      <c r="K452" s="12">
        <v>1</v>
      </c>
      <c r="L452" s="46" t="s">
        <v>235</v>
      </c>
      <c r="M452" s="47" t="s">
        <v>222</v>
      </c>
      <c r="N452" s="47" t="s">
        <v>235</v>
      </c>
      <c r="O452" s="47" t="s">
        <v>624</v>
      </c>
      <c r="P452" s="7">
        <v>610</v>
      </c>
      <c r="Q452" s="124">
        <f>10309.3-141.3+148+36+3000-142.8-2857.1</f>
        <v>10352.1</v>
      </c>
      <c r="R452" s="124">
        <v>10352.1</v>
      </c>
      <c r="T452" s="230"/>
    </row>
    <row r="453" spans="1:20" ht="31.5">
      <c r="A453" s="61"/>
      <c r="B453" s="62"/>
      <c r="C453" s="57"/>
      <c r="D453" s="58"/>
      <c r="E453" s="55"/>
      <c r="F453" s="55"/>
      <c r="G453" s="56"/>
      <c r="H453" s="173" t="s">
        <v>448</v>
      </c>
      <c r="I453" s="7">
        <v>668</v>
      </c>
      <c r="J453" s="12">
        <v>11</v>
      </c>
      <c r="K453" s="12">
        <v>1</v>
      </c>
      <c r="L453" s="46" t="s">
        <v>235</v>
      </c>
      <c r="M453" s="47" t="s">
        <v>222</v>
      </c>
      <c r="N453" s="47" t="s">
        <v>235</v>
      </c>
      <c r="O453" s="47" t="s">
        <v>447</v>
      </c>
      <c r="P453" s="7"/>
      <c r="Q453" s="124">
        <f>Q454</f>
        <v>7349.9</v>
      </c>
      <c r="R453" s="124">
        <f>R454</f>
        <v>207.6</v>
      </c>
      <c r="T453" s="230"/>
    </row>
    <row r="454" spans="1:20" ht="18.75">
      <c r="A454" s="61"/>
      <c r="B454" s="62"/>
      <c r="C454" s="57"/>
      <c r="D454" s="58"/>
      <c r="E454" s="55"/>
      <c r="F454" s="55"/>
      <c r="G454" s="56"/>
      <c r="H454" s="8" t="s">
        <v>279</v>
      </c>
      <c r="I454" s="7">
        <v>668</v>
      </c>
      <c r="J454" s="12">
        <v>11</v>
      </c>
      <c r="K454" s="12">
        <v>1</v>
      </c>
      <c r="L454" s="46" t="s">
        <v>235</v>
      </c>
      <c r="M454" s="47" t="s">
        <v>222</v>
      </c>
      <c r="N454" s="47" t="s">
        <v>235</v>
      </c>
      <c r="O454" s="47" t="s">
        <v>447</v>
      </c>
      <c r="P454" s="7">
        <v>610</v>
      </c>
      <c r="Q454" s="124">
        <f>141.3+10.2+7129.3+213.9-36-108.8</f>
        <v>7349.9</v>
      </c>
      <c r="R454" s="124">
        <v>207.6</v>
      </c>
      <c r="T454" s="230"/>
    </row>
    <row r="455" spans="1:20" ht="16.5">
      <c r="A455" s="61"/>
      <c r="B455" s="62"/>
      <c r="C455" s="57"/>
      <c r="D455" s="58"/>
      <c r="E455" s="55"/>
      <c r="F455" s="55"/>
      <c r="G455" s="56"/>
      <c r="H455" s="258" t="s">
        <v>625</v>
      </c>
      <c r="I455" s="10">
        <v>669</v>
      </c>
      <c r="J455" s="11"/>
      <c r="K455" s="11"/>
      <c r="L455" s="72"/>
      <c r="M455" s="73"/>
      <c r="N455" s="73"/>
      <c r="O455" s="73"/>
      <c r="P455" s="10"/>
      <c r="Q455" s="232">
        <f>Q456+Q476+Q483+Q491+Q506+Q581</f>
        <v>132518.9</v>
      </c>
      <c r="R455" s="232">
        <f>R456+R476+R483+R491+R506+R581</f>
        <v>122238.69999999998</v>
      </c>
      <c r="T455" s="230"/>
    </row>
    <row r="456" spans="1:20" ht="19.5">
      <c r="A456" s="61"/>
      <c r="B456" s="62"/>
      <c r="C456" s="57"/>
      <c r="D456" s="58"/>
      <c r="E456" s="55"/>
      <c r="F456" s="55"/>
      <c r="G456" s="56"/>
      <c r="H456" s="231" t="s">
        <v>502</v>
      </c>
      <c r="I456" s="77">
        <v>669</v>
      </c>
      <c r="J456" s="78">
        <v>1</v>
      </c>
      <c r="K456" s="78" t="s">
        <v>241</v>
      </c>
      <c r="L456" s="79"/>
      <c r="M456" s="80"/>
      <c r="N456" s="80"/>
      <c r="O456" s="80"/>
      <c r="P456" s="85"/>
      <c r="Q456" s="126">
        <f>Q457+Q468</f>
        <v>5907.1</v>
      </c>
      <c r="R456" s="126">
        <f>R457+R468</f>
        <v>5859.7</v>
      </c>
      <c r="T456" s="230"/>
    </row>
    <row r="457" spans="1:20" ht="31.5">
      <c r="A457" s="61"/>
      <c r="B457" s="62"/>
      <c r="C457" s="57"/>
      <c r="D457" s="58"/>
      <c r="E457" s="55"/>
      <c r="F457" s="55"/>
      <c r="G457" s="56"/>
      <c r="H457" s="169" t="s">
        <v>512</v>
      </c>
      <c r="I457" s="77">
        <v>669</v>
      </c>
      <c r="J457" s="78">
        <v>1</v>
      </c>
      <c r="K457" s="78">
        <v>4</v>
      </c>
      <c r="L457" s="79"/>
      <c r="M457" s="80"/>
      <c r="N457" s="80"/>
      <c r="O457" s="80"/>
      <c r="P457" s="85"/>
      <c r="Q457" s="126">
        <f>Q458</f>
        <v>5128.400000000001</v>
      </c>
      <c r="R457" s="126">
        <f>R458</f>
        <v>5092.3</v>
      </c>
      <c r="T457" s="230"/>
    </row>
    <row r="458" spans="1:20" ht="31.5">
      <c r="A458" s="61"/>
      <c r="B458" s="62"/>
      <c r="C458" s="57"/>
      <c r="D458" s="58"/>
      <c r="E458" s="55"/>
      <c r="F458" s="55"/>
      <c r="G458" s="56"/>
      <c r="H458" s="8" t="s">
        <v>509</v>
      </c>
      <c r="I458" s="7">
        <v>669</v>
      </c>
      <c r="J458" s="12">
        <v>1</v>
      </c>
      <c r="K458" s="12">
        <v>4</v>
      </c>
      <c r="L458" s="46" t="s">
        <v>510</v>
      </c>
      <c r="M458" s="47" t="s">
        <v>222</v>
      </c>
      <c r="N458" s="47" t="s">
        <v>231</v>
      </c>
      <c r="O458" s="47" t="s">
        <v>240</v>
      </c>
      <c r="P458" s="3"/>
      <c r="Q458" s="125">
        <f>Q459</f>
        <v>5128.400000000001</v>
      </c>
      <c r="R458" s="125">
        <f>R459</f>
        <v>5092.3</v>
      </c>
      <c r="T458" s="230"/>
    </row>
    <row r="459" spans="1:20" s="111" customFormat="1" ht="31.5">
      <c r="A459" s="102"/>
      <c r="B459" s="132"/>
      <c r="C459" s="96"/>
      <c r="D459" s="106"/>
      <c r="E459" s="84"/>
      <c r="F459" s="84"/>
      <c r="G459" s="94"/>
      <c r="H459" s="8" t="s">
        <v>626</v>
      </c>
      <c r="I459" s="7">
        <v>669</v>
      </c>
      <c r="J459" s="12">
        <v>1</v>
      </c>
      <c r="K459" s="12">
        <v>4</v>
      </c>
      <c r="L459" s="46" t="s">
        <v>510</v>
      </c>
      <c r="M459" s="47" t="s">
        <v>222</v>
      </c>
      <c r="N459" s="47" t="s">
        <v>234</v>
      </c>
      <c r="O459" s="47" t="s">
        <v>240</v>
      </c>
      <c r="P459" s="3"/>
      <c r="Q459" s="125">
        <f>Q460+Q466+Q464</f>
        <v>5128.400000000001</v>
      </c>
      <c r="R459" s="125">
        <f>R460+R466+R464</f>
        <v>5092.3</v>
      </c>
      <c r="S459" s="283"/>
      <c r="T459" s="230"/>
    </row>
    <row r="460" spans="1:20" s="70" customFormat="1" ht="18.75">
      <c r="A460" s="61"/>
      <c r="B460" s="121"/>
      <c r="C460" s="128"/>
      <c r="D460" s="129"/>
      <c r="E460" s="130"/>
      <c r="F460" s="130"/>
      <c r="G460" s="131"/>
      <c r="H460" s="1" t="s">
        <v>64</v>
      </c>
      <c r="I460" s="7">
        <v>669</v>
      </c>
      <c r="J460" s="12">
        <v>1</v>
      </c>
      <c r="K460" s="12">
        <v>4</v>
      </c>
      <c r="L460" s="46" t="s">
        <v>510</v>
      </c>
      <c r="M460" s="47" t="s">
        <v>222</v>
      </c>
      <c r="N460" s="47" t="s">
        <v>234</v>
      </c>
      <c r="O460" s="47" t="s">
        <v>243</v>
      </c>
      <c r="P460" s="3"/>
      <c r="Q460" s="125">
        <f>Q461+Q462+Q463</f>
        <v>2843.3</v>
      </c>
      <c r="R460" s="125">
        <f>R461+R462+R463</f>
        <v>2807.2</v>
      </c>
      <c r="S460" s="285"/>
      <c r="T460" s="230"/>
    </row>
    <row r="461" spans="1:20" ht="18.75">
      <c r="A461" s="50"/>
      <c r="B461" s="49"/>
      <c r="C461" s="54"/>
      <c r="D461" s="52"/>
      <c r="E461" s="64"/>
      <c r="F461" s="64"/>
      <c r="G461" s="56"/>
      <c r="H461" s="8" t="s">
        <v>210</v>
      </c>
      <c r="I461" s="7">
        <v>669</v>
      </c>
      <c r="J461" s="12">
        <v>1</v>
      </c>
      <c r="K461" s="12">
        <v>4</v>
      </c>
      <c r="L461" s="46" t="s">
        <v>510</v>
      </c>
      <c r="M461" s="47" t="s">
        <v>222</v>
      </c>
      <c r="N461" s="47" t="s">
        <v>234</v>
      </c>
      <c r="O461" s="47" t="s">
        <v>243</v>
      </c>
      <c r="P461" s="3">
        <v>120</v>
      </c>
      <c r="Q461" s="125">
        <f>2495+16-450-170+50+450+170+65.4+19.7+74+8.1-65.4-19.7+65.4-15.2-9.6</f>
        <v>2683.7000000000003</v>
      </c>
      <c r="R461" s="125">
        <v>2674.2</v>
      </c>
      <c r="T461" s="230"/>
    </row>
    <row r="462" spans="1:20" ht="18.75">
      <c r="A462" s="61"/>
      <c r="B462" s="62"/>
      <c r="C462" s="57"/>
      <c r="D462" s="58"/>
      <c r="E462" s="55"/>
      <c r="F462" s="55"/>
      <c r="G462" s="56"/>
      <c r="H462" s="2" t="s">
        <v>277</v>
      </c>
      <c r="I462" s="7">
        <v>669</v>
      </c>
      <c r="J462" s="12">
        <v>1</v>
      </c>
      <c r="K462" s="12">
        <v>4</v>
      </c>
      <c r="L462" s="46" t="s">
        <v>510</v>
      </c>
      <c r="M462" s="47" t="s">
        <v>222</v>
      </c>
      <c r="N462" s="47" t="s">
        <v>234</v>
      </c>
      <c r="O462" s="47" t="s">
        <v>243</v>
      </c>
      <c r="P462" s="7">
        <v>240</v>
      </c>
      <c r="Q462" s="124">
        <f>300+100-120-48.1-74</f>
        <v>157.9</v>
      </c>
      <c r="R462" s="124">
        <v>131.3</v>
      </c>
      <c r="T462" s="230"/>
    </row>
    <row r="463" spans="1:20" ht="18.75">
      <c r="A463" s="61"/>
      <c r="B463" s="62"/>
      <c r="C463" s="57"/>
      <c r="D463" s="58"/>
      <c r="E463" s="55"/>
      <c r="F463" s="55"/>
      <c r="G463" s="56"/>
      <c r="H463" s="8" t="s">
        <v>278</v>
      </c>
      <c r="I463" s="7">
        <v>669</v>
      </c>
      <c r="J463" s="12">
        <v>1</v>
      </c>
      <c r="K463" s="12">
        <v>4</v>
      </c>
      <c r="L463" s="46" t="s">
        <v>510</v>
      </c>
      <c r="M463" s="47" t="s">
        <v>222</v>
      </c>
      <c r="N463" s="47" t="s">
        <v>234</v>
      </c>
      <c r="O463" s="47" t="s">
        <v>243</v>
      </c>
      <c r="P463" s="7">
        <v>850</v>
      </c>
      <c r="Q463" s="124">
        <f>4-2.3</f>
        <v>1.7000000000000002</v>
      </c>
      <c r="R463" s="124">
        <v>1.7</v>
      </c>
      <c r="T463" s="230"/>
    </row>
    <row r="464" spans="1:20" ht="31.5">
      <c r="A464" s="61"/>
      <c r="B464" s="62"/>
      <c r="C464" s="57"/>
      <c r="D464" s="58"/>
      <c r="E464" s="55"/>
      <c r="F464" s="55"/>
      <c r="G464" s="56"/>
      <c r="H464" s="8" t="s">
        <v>458</v>
      </c>
      <c r="I464" s="7">
        <v>669</v>
      </c>
      <c r="J464" s="12">
        <v>1</v>
      </c>
      <c r="K464" s="12">
        <v>4</v>
      </c>
      <c r="L464" s="46" t="s">
        <v>510</v>
      </c>
      <c r="M464" s="47" t="s">
        <v>222</v>
      </c>
      <c r="N464" s="47" t="s">
        <v>234</v>
      </c>
      <c r="O464" s="47" t="s">
        <v>457</v>
      </c>
      <c r="P464" s="7"/>
      <c r="Q464" s="124">
        <f>Q465</f>
        <v>85.10000000000001</v>
      </c>
      <c r="R464" s="124">
        <f>R465</f>
        <v>85.1</v>
      </c>
      <c r="T464" s="230"/>
    </row>
    <row r="465" spans="1:20" ht="18.75">
      <c r="A465" s="61"/>
      <c r="B465" s="62"/>
      <c r="C465" s="57"/>
      <c r="D465" s="58"/>
      <c r="E465" s="55"/>
      <c r="F465" s="55"/>
      <c r="G465" s="40"/>
      <c r="H465" s="8" t="s">
        <v>210</v>
      </c>
      <c r="I465" s="7">
        <v>669</v>
      </c>
      <c r="J465" s="12">
        <v>1</v>
      </c>
      <c r="K465" s="12">
        <v>4</v>
      </c>
      <c r="L465" s="46" t="s">
        <v>510</v>
      </c>
      <c r="M465" s="47" t="s">
        <v>222</v>
      </c>
      <c r="N465" s="47" t="s">
        <v>234</v>
      </c>
      <c r="O465" s="47" t="s">
        <v>457</v>
      </c>
      <c r="P465" s="7">
        <v>120</v>
      </c>
      <c r="Q465" s="124">
        <f>65.4+19.7</f>
        <v>85.10000000000001</v>
      </c>
      <c r="R465" s="124">
        <v>85.1</v>
      </c>
      <c r="T465" s="230"/>
    </row>
    <row r="466" spans="1:20" ht="31.5">
      <c r="A466" s="61"/>
      <c r="B466" s="62"/>
      <c r="C466" s="57"/>
      <c r="D466" s="58"/>
      <c r="E466" s="55"/>
      <c r="F466" s="55"/>
      <c r="G466" s="40"/>
      <c r="H466" s="23" t="s">
        <v>353</v>
      </c>
      <c r="I466" s="7">
        <v>669</v>
      </c>
      <c r="J466" s="12">
        <v>1</v>
      </c>
      <c r="K466" s="12">
        <v>4</v>
      </c>
      <c r="L466" s="46" t="s">
        <v>510</v>
      </c>
      <c r="M466" s="47" t="s">
        <v>222</v>
      </c>
      <c r="N466" s="47" t="s">
        <v>234</v>
      </c>
      <c r="O466" s="47" t="s">
        <v>352</v>
      </c>
      <c r="P466" s="7"/>
      <c r="Q466" s="124">
        <f>Q467</f>
        <v>2200</v>
      </c>
      <c r="R466" s="124">
        <f>R467</f>
        <v>2200</v>
      </c>
      <c r="T466" s="230"/>
    </row>
    <row r="467" spans="1:20" s="172" customFormat="1" ht="18.75">
      <c r="A467" s="97"/>
      <c r="B467" s="98"/>
      <c r="C467" s="99"/>
      <c r="D467" s="100"/>
      <c r="E467" s="358">
        <v>5250300</v>
      </c>
      <c r="F467" s="358"/>
      <c r="G467" s="71">
        <v>530</v>
      </c>
      <c r="H467" s="8" t="s">
        <v>210</v>
      </c>
      <c r="I467" s="7">
        <v>669</v>
      </c>
      <c r="J467" s="12">
        <v>1</v>
      </c>
      <c r="K467" s="12">
        <v>4</v>
      </c>
      <c r="L467" s="46" t="s">
        <v>510</v>
      </c>
      <c r="M467" s="47" t="s">
        <v>222</v>
      </c>
      <c r="N467" s="47" t="s">
        <v>234</v>
      </c>
      <c r="O467" s="47" t="s">
        <v>352</v>
      </c>
      <c r="P467" s="7">
        <v>120</v>
      </c>
      <c r="Q467" s="124">
        <v>2200</v>
      </c>
      <c r="R467" s="124">
        <v>2200</v>
      </c>
      <c r="S467" s="286"/>
      <c r="T467" s="230"/>
    </row>
    <row r="468" spans="1:20" s="111" customFormat="1" ht="18.75">
      <c r="A468" s="102"/>
      <c r="B468" s="103"/>
      <c r="C468" s="96"/>
      <c r="D468" s="83"/>
      <c r="E468" s="84"/>
      <c r="F468" s="84"/>
      <c r="G468" s="94">
        <v>530</v>
      </c>
      <c r="H468" s="76" t="s">
        <v>212</v>
      </c>
      <c r="I468" s="77">
        <v>669</v>
      </c>
      <c r="J468" s="78">
        <v>1</v>
      </c>
      <c r="K468" s="78">
        <v>13</v>
      </c>
      <c r="L468" s="46"/>
      <c r="M468" s="47"/>
      <c r="N468" s="47"/>
      <c r="O468" s="47"/>
      <c r="P468" s="7"/>
      <c r="Q468" s="124">
        <f>Q469</f>
        <v>778.7</v>
      </c>
      <c r="R468" s="124">
        <f>R469</f>
        <v>767.4</v>
      </c>
      <c r="S468" s="283"/>
      <c r="T468" s="230"/>
    </row>
    <row r="469" spans="1:20" s="111" customFormat="1" ht="31.5">
      <c r="A469" s="356">
        <v>1000</v>
      </c>
      <c r="B469" s="356"/>
      <c r="C469" s="357"/>
      <c r="D469" s="357"/>
      <c r="E469" s="357"/>
      <c r="F469" s="357"/>
      <c r="G469" s="75">
        <v>530</v>
      </c>
      <c r="H469" s="8" t="s">
        <v>509</v>
      </c>
      <c r="I469" s="7">
        <v>669</v>
      </c>
      <c r="J469" s="12">
        <v>1</v>
      </c>
      <c r="K469" s="12">
        <v>13</v>
      </c>
      <c r="L469" s="46" t="s">
        <v>510</v>
      </c>
      <c r="M469" s="47" t="s">
        <v>222</v>
      </c>
      <c r="N469" s="47" t="s">
        <v>231</v>
      </c>
      <c r="O469" s="47" t="s">
        <v>240</v>
      </c>
      <c r="P469" s="7"/>
      <c r="Q469" s="124">
        <f>Q470</f>
        <v>778.7</v>
      </c>
      <c r="R469" s="124">
        <f>R470</f>
        <v>767.4</v>
      </c>
      <c r="S469" s="283"/>
      <c r="T469" s="230"/>
    </row>
    <row r="470" spans="1:20" s="111" customFormat="1" ht="31.5">
      <c r="A470" s="81"/>
      <c r="B470" s="82"/>
      <c r="C470" s="102"/>
      <c r="D470" s="74"/>
      <c r="E470" s="74"/>
      <c r="F470" s="74"/>
      <c r="G470" s="75"/>
      <c r="H470" s="8" t="s">
        <v>626</v>
      </c>
      <c r="I470" s="7">
        <v>669</v>
      </c>
      <c r="J470" s="12">
        <v>1</v>
      </c>
      <c r="K470" s="12">
        <v>13</v>
      </c>
      <c r="L470" s="46" t="s">
        <v>510</v>
      </c>
      <c r="M470" s="47" t="s">
        <v>222</v>
      </c>
      <c r="N470" s="47" t="s">
        <v>234</v>
      </c>
      <c r="O470" s="47" t="s">
        <v>627</v>
      </c>
      <c r="P470" s="7"/>
      <c r="Q470" s="124">
        <f>Q471+Q474</f>
        <v>778.7</v>
      </c>
      <c r="R470" s="124">
        <f>R471+R474</f>
        <v>767.4</v>
      </c>
      <c r="S470" s="283"/>
      <c r="T470" s="230"/>
    </row>
    <row r="471" spans="1:20" ht="18.75">
      <c r="A471" s="50"/>
      <c r="B471" s="49"/>
      <c r="C471" s="48"/>
      <c r="D471" s="352">
        <v>5050000</v>
      </c>
      <c r="E471" s="353"/>
      <c r="F471" s="353"/>
      <c r="G471" s="40">
        <v>321</v>
      </c>
      <c r="H471" s="1" t="s">
        <v>64</v>
      </c>
      <c r="I471" s="7">
        <v>669</v>
      </c>
      <c r="J471" s="12">
        <v>1</v>
      </c>
      <c r="K471" s="12">
        <v>13</v>
      </c>
      <c r="L471" s="46" t="s">
        <v>510</v>
      </c>
      <c r="M471" s="47" t="s">
        <v>222</v>
      </c>
      <c r="N471" s="47" t="s">
        <v>234</v>
      </c>
      <c r="O471" s="47" t="s">
        <v>243</v>
      </c>
      <c r="P471" s="7"/>
      <c r="Q471" s="124">
        <f>Q473+Q472</f>
        <v>61.7</v>
      </c>
      <c r="R471" s="124">
        <f>R473+R472</f>
        <v>50.4</v>
      </c>
      <c r="T471" s="230"/>
    </row>
    <row r="472" spans="1:20" ht="18.75">
      <c r="A472" s="50"/>
      <c r="B472" s="49"/>
      <c r="C472" s="48"/>
      <c r="D472" s="52"/>
      <c r="E472" s="51"/>
      <c r="F472" s="51"/>
      <c r="G472" s="40"/>
      <c r="H472" s="2" t="s">
        <v>277</v>
      </c>
      <c r="I472" s="7">
        <v>669</v>
      </c>
      <c r="J472" s="12">
        <v>1</v>
      </c>
      <c r="K472" s="12">
        <v>13</v>
      </c>
      <c r="L472" s="46" t="s">
        <v>510</v>
      </c>
      <c r="M472" s="47" t="s">
        <v>222</v>
      </c>
      <c r="N472" s="47" t="s">
        <v>234</v>
      </c>
      <c r="O472" s="47" t="s">
        <v>243</v>
      </c>
      <c r="P472" s="7">
        <v>240</v>
      </c>
      <c r="Q472" s="124">
        <f>51.3</f>
        <v>51.3</v>
      </c>
      <c r="R472" s="124">
        <v>50.4</v>
      </c>
      <c r="T472" s="230"/>
    </row>
    <row r="473" spans="1:20" ht="18.75">
      <c r="A473" s="50"/>
      <c r="B473" s="49"/>
      <c r="C473" s="54"/>
      <c r="D473" s="52"/>
      <c r="E473" s="64"/>
      <c r="F473" s="64"/>
      <c r="G473" s="40"/>
      <c r="H473" s="8" t="s">
        <v>278</v>
      </c>
      <c r="I473" s="7">
        <v>669</v>
      </c>
      <c r="J473" s="12">
        <v>1</v>
      </c>
      <c r="K473" s="12">
        <v>13</v>
      </c>
      <c r="L473" s="46" t="s">
        <v>510</v>
      </c>
      <c r="M473" s="47" t="s">
        <v>222</v>
      </c>
      <c r="N473" s="47" t="s">
        <v>234</v>
      </c>
      <c r="O473" s="47" t="s">
        <v>243</v>
      </c>
      <c r="P473" s="7">
        <v>850</v>
      </c>
      <c r="Q473" s="124">
        <f>130-51.3-20-10-38.3</f>
        <v>10.400000000000006</v>
      </c>
      <c r="R473" s="124">
        <v>0</v>
      </c>
      <c r="T473" s="230"/>
    </row>
    <row r="474" spans="1:20" ht="18.75">
      <c r="A474" s="50"/>
      <c r="B474" s="49"/>
      <c r="C474" s="54"/>
      <c r="D474" s="58"/>
      <c r="E474" s="55"/>
      <c r="F474" s="55"/>
      <c r="G474" s="40"/>
      <c r="H474" s="241" t="s">
        <v>456</v>
      </c>
      <c r="I474" s="7">
        <v>669</v>
      </c>
      <c r="J474" s="12">
        <v>1</v>
      </c>
      <c r="K474" s="12">
        <v>13</v>
      </c>
      <c r="L474" s="46" t="s">
        <v>510</v>
      </c>
      <c r="M474" s="47" t="s">
        <v>222</v>
      </c>
      <c r="N474" s="47" t="s">
        <v>234</v>
      </c>
      <c r="O474" s="47" t="s">
        <v>521</v>
      </c>
      <c r="P474" s="7"/>
      <c r="Q474" s="124">
        <f>Q475</f>
        <v>717</v>
      </c>
      <c r="R474" s="124">
        <f>R475</f>
        <v>717</v>
      </c>
      <c r="T474" s="230"/>
    </row>
    <row r="475" spans="1:20" ht="18.75">
      <c r="A475" s="50"/>
      <c r="B475" s="49"/>
      <c r="C475" s="54"/>
      <c r="D475" s="58"/>
      <c r="E475" s="55"/>
      <c r="F475" s="55"/>
      <c r="G475" s="40"/>
      <c r="H475" s="2" t="s">
        <v>277</v>
      </c>
      <c r="I475" s="7">
        <v>669</v>
      </c>
      <c r="J475" s="12">
        <v>1</v>
      </c>
      <c r="K475" s="12">
        <v>13</v>
      </c>
      <c r="L475" s="46" t="s">
        <v>510</v>
      </c>
      <c r="M475" s="47" t="s">
        <v>222</v>
      </c>
      <c r="N475" s="47" t="s">
        <v>234</v>
      </c>
      <c r="O475" s="47" t="s">
        <v>521</v>
      </c>
      <c r="P475" s="7">
        <v>240</v>
      </c>
      <c r="Q475" s="124">
        <f>147+620-50</f>
        <v>717</v>
      </c>
      <c r="R475" s="124">
        <v>717</v>
      </c>
      <c r="T475" s="230"/>
    </row>
    <row r="476" spans="1:20" ht="19.5">
      <c r="A476" s="50"/>
      <c r="B476" s="49"/>
      <c r="C476" s="54"/>
      <c r="D476" s="58"/>
      <c r="E476" s="55"/>
      <c r="F476" s="55"/>
      <c r="G476" s="40"/>
      <c r="H476" s="259" t="s">
        <v>628</v>
      </c>
      <c r="I476" s="77">
        <v>669</v>
      </c>
      <c r="J476" s="78">
        <v>2</v>
      </c>
      <c r="K476" s="78"/>
      <c r="L476" s="79"/>
      <c r="M476" s="80"/>
      <c r="N476" s="80"/>
      <c r="O476" s="80"/>
      <c r="P476" s="77"/>
      <c r="Q476" s="123">
        <f aca="true" t="shared" si="22" ref="Q476:R479">Q477</f>
        <v>498.29999999999995</v>
      </c>
      <c r="R476" s="123">
        <f t="shared" si="22"/>
        <v>498.3</v>
      </c>
      <c r="T476" s="230"/>
    </row>
    <row r="477" spans="1:20" ht="19.5">
      <c r="A477" s="50"/>
      <c r="B477" s="49"/>
      <c r="C477" s="54"/>
      <c r="D477" s="58"/>
      <c r="E477" s="55"/>
      <c r="F477" s="55"/>
      <c r="G477" s="40"/>
      <c r="H477" s="88" t="s">
        <v>629</v>
      </c>
      <c r="I477" s="77">
        <v>669</v>
      </c>
      <c r="J477" s="78">
        <v>2</v>
      </c>
      <c r="K477" s="78">
        <v>3</v>
      </c>
      <c r="L477" s="79"/>
      <c r="M477" s="80"/>
      <c r="N477" s="80"/>
      <c r="O477" s="80"/>
      <c r="P477" s="77"/>
      <c r="Q477" s="123">
        <f t="shared" si="22"/>
        <v>498.29999999999995</v>
      </c>
      <c r="R477" s="123">
        <f t="shared" si="22"/>
        <v>498.3</v>
      </c>
      <c r="T477" s="230"/>
    </row>
    <row r="478" spans="1:20" ht="31.5">
      <c r="A478" s="50"/>
      <c r="B478" s="49"/>
      <c r="C478" s="54"/>
      <c r="D478" s="58"/>
      <c r="E478" s="55"/>
      <c r="F478" s="55"/>
      <c r="G478" s="40"/>
      <c r="H478" s="8" t="s">
        <v>509</v>
      </c>
      <c r="I478" s="7">
        <v>669</v>
      </c>
      <c r="J478" s="12">
        <v>2</v>
      </c>
      <c r="K478" s="12">
        <v>3</v>
      </c>
      <c r="L478" s="46" t="s">
        <v>510</v>
      </c>
      <c r="M478" s="47" t="s">
        <v>222</v>
      </c>
      <c r="N478" s="47" t="s">
        <v>231</v>
      </c>
      <c r="O478" s="47" t="s">
        <v>240</v>
      </c>
      <c r="P478" s="7"/>
      <c r="Q478" s="124">
        <f t="shared" si="22"/>
        <v>498.29999999999995</v>
      </c>
      <c r="R478" s="124">
        <f t="shared" si="22"/>
        <v>498.3</v>
      </c>
      <c r="T478" s="230"/>
    </row>
    <row r="479" spans="1:20" ht="31.5">
      <c r="A479" s="50"/>
      <c r="B479" s="49"/>
      <c r="C479" s="54"/>
      <c r="D479" s="58"/>
      <c r="E479" s="55"/>
      <c r="F479" s="55"/>
      <c r="G479" s="56"/>
      <c r="H479" s="8" t="s">
        <v>630</v>
      </c>
      <c r="I479" s="7">
        <v>669</v>
      </c>
      <c r="J479" s="12">
        <v>2</v>
      </c>
      <c r="K479" s="12">
        <v>3</v>
      </c>
      <c r="L479" s="46" t="s">
        <v>510</v>
      </c>
      <c r="M479" s="47" t="s">
        <v>222</v>
      </c>
      <c r="N479" s="47" t="s">
        <v>234</v>
      </c>
      <c r="O479" s="47" t="s">
        <v>240</v>
      </c>
      <c r="P479" s="7"/>
      <c r="Q479" s="124">
        <f t="shared" si="22"/>
        <v>498.29999999999995</v>
      </c>
      <c r="R479" s="124">
        <f t="shared" si="22"/>
        <v>498.3</v>
      </c>
      <c r="T479" s="230"/>
    </row>
    <row r="480" spans="1:20" ht="31.5">
      <c r="A480" s="50"/>
      <c r="B480" s="49"/>
      <c r="C480" s="54"/>
      <c r="D480" s="58"/>
      <c r="E480" s="55"/>
      <c r="F480" s="55"/>
      <c r="G480" s="56"/>
      <c r="H480" s="173" t="s">
        <v>631</v>
      </c>
      <c r="I480" s="7">
        <v>669</v>
      </c>
      <c r="J480" s="12">
        <v>2</v>
      </c>
      <c r="K480" s="12">
        <v>3</v>
      </c>
      <c r="L480" s="46" t="s">
        <v>510</v>
      </c>
      <c r="M480" s="47" t="s">
        <v>222</v>
      </c>
      <c r="N480" s="47" t="s">
        <v>234</v>
      </c>
      <c r="O480" s="47" t="s">
        <v>632</v>
      </c>
      <c r="P480" s="7"/>
      <c r="Q480" s="124">
        <f>Q481+Q482</f>
        <v>498.29999999999995</v>
      </c>
      <c r="R480" s="124">
        <f>R481+R482</f>
        <v>498.3</v>
      </c>
      <c r="T480" s="230"/>
    </row>
    <row r="481" spans="1:20" ht="18.75">
      <c r="A481" s="50"/>
      <c r="B481" s="49"/>
      <c r="C481" s="54"/>
      <c r="D481" s="58"/>
      <c r="E481" s="55"/>
      <c r="F481" s="55"/>
      <c r="G481" s="56"/>
      <c r="H481" s="8" t="s">
        <v>210</v>
      </c>
      <c r="I481" s="7">
        <v>669</v>
      </c>
      <c r="J481" s="12">
        <v>2</v>
      </c>
      <c r="K481" s="12">
        <v>3</v>
      </c>
      <c r="L481" s="46" t="s">
        <v>510</v>
      </c>
      <c r="M481" s="47" t="s">
        <v>222</v>
      </c>
      <c r="N481" s="47" t="s">
        <v>234</v>
      </c>
      <c r="O481" s="47" t="s">
        <v>632</v>
      </c>
      <c r="P481" s="7">
        <v>120</v>
      </c>
      <c r="Q481" s="124">
        <f>397.7+64+7.7+2.3</f>
        <v>471.7</v>
      </c>
      <c r="R481" s="124">
        <v>471.7</v>
      </c>
      <c r="T481" s="230"/>
    </row>
    <row r="482" spans="1:20" s="172" customFormat="1" ht="18.75">
      <c r="A482" s="97"/>
      <c r="B482" s="98"/>
      <c r="C482" s="99"/>
      <c r="D482" s="104"/>
      <c r="E482" s="105"/>
      <c r="F482" s="105"/>
      <c r="G482" s="101">
        <v>321</v>
      </c>
      <c r="H482" s="2" t="s">
        <v>277</v>
      </c>
      <c r="I482" s="3">
        <v>669</v>
      </c>
      <c r="J482" s="14">
        <v>2</v>
      </c>
      <c r="K482" s="12">
        <v>3</v>
      </c>
      <c r="L482" s="46" t="s">
        <v>510</v>
      </c>
      <c r="M482" s="47" t="s">
        <v>222</v>
      </c>
      <c r="N482" s="47" t="s">
        <v>234</v>
      </c>
      <c r="O482" s="47" t="s">
        <v>632</v>
      </c>
      <c r="P482" s="7">
        <v>240</v>
      </c>
      <c r="Q482" s="124">
        <f>598.8-498.2-64+13.6-13.6-10</f>
        <v>26.599999999999966</v>
      </c>
      <c r="R482" s="124">
        <v>26.6</v>
      </c>
      <c r="S482" s="286"/>
      <c r="T482" s="230"/>
    </row>
    <row r="483" spans="1:20" s="111" customFormat="1" ht="18.75">
      <c r="A483" s="81"/>
      <c r="B483" s="82"/>
      <c r="C483" s="81"/>
      <c r="D483" s="349">
        <v>5200000</v>
      </c>
      <c r="E483" s="350"/>
      <c r="F483" s="350"/>
      <c r="G483" s="75">
        <v>530</v>
      </c>
      <c r="H483" s="68" t="s">
        <v>523</v>
      </c>
      <c r="I483" s="6">
        <v>669</v>
      </c>
      <c r="J483" s="260">
        <v>3</v>
      </c>
      <c r="K483" s="42"/>
      <c r="L483" s="46"/>
      <c r="M483" s="47"/>
      <c r="N483" s="47"/>
      <c r="O483" s="47"/>
      <c r="P483" s="3"/>
      <c r="Q483" s="125">
        <f aca="true" t="shared" si="23" ref="Q483:R487">Q484</f>
        <v>543</v>
      </c>
      <c r="R483" s="125">
        <f t="shared" si="23"/>
        <v>193</v>
      </c>
      <c r="S483" s="283"/>
      <c r="T483" s="230"/>
    </row>
    <row r="484" spans="1:20" s="111" customFormat="1" ht="31.5">
      <c r="A484" s="81"/>
      <c r="B484" s="82"/>
      <c r="C484" s="92"/>
      <c r="D484" s="89"/>
      <c r="E484" s="354">
        <v>5201000</v>
      </c>
      <c r="F484" s="354"/>
      <c r="G484" s="75">
        <v>530</v>
      </c>
      <c r="H484" s="88" t="s">
        <v>633</v>
      </c>
      <c r="I484" s="6">
        <v>669</v>
      </c>
      <c r="J484" s="95">
        <v>3</v>
      </c>
      <c r="K484" s="78">
        <v>10</v>
      </c>
      <c r="L484" s="46"/>
      <c r="M484" s="47"/>
      <c r="N484" s="47"/>
      <c r="O484" s="47"/>
      <c r="P484" s="3"/>
      <c r="Q484" s="125">
        <f t="shared" si="23"/>
        <v>543</v>
      </c>
      <c r="R484" s="125">
        <f t="shared" si="23"/>
        <v>193</v>
      </c>
      <c r="S484" s="283"/>
      <c r="T484" s="230"/>
    </row>
    <row r="485" spans="1:20" ht="31.5">
      <c r="A485" s="48"/>
      <c r="B485" s="49"/>
      <c r="C485" s="54"/>
      <c r="D485" s="52"/>
      <c r="E485" s="55"/>
      <c r="F485" s="55"/>
      <c r="G485" s="40"/>
      <c r="H485" s="2" t="s">
        <v>518</v>
      </c>
      <c r="I485" s="3">
        <v>669</v>
      </c>
      <c r="J485" s="15">
        <v>3</v>
      </c>
      <c r="K485" s="12">
        <v>10</v>
      </c>
      <c r="L485" s="46" t="s">
        <v>519</v>
      </c>
      <c r="M485" s="47" t="s">
        <v>222</v>
      </c>
      <c r="N485" s="47" t="s">
        <v>231</v>
      </c>
      <c r="O485" s="47" t="s">
        <v>240</v>
      </c>
      <c r="P485" s="3"/>
      <c r="Q485" s="125">
        <f t="shared" si="23"/>
        <v>543</v>
      </c>
      <c r="R485" s="125">
        <f t="shared" si="23"/>
        <v>193</v>
      </c>
      <c r="T485" s="230"/>
    </row>
    <row r="486" spans="1:20" ht="31.5">
      <c r="A486" s="48"/>
      <c r="B486" s="49"/>
      <c r="C486" s="65"/>
      <c r="D486" s="58"/>
      <c r="E486" s="55"/>
      <c r="F486" s="55"/>
      <c r="G486" s="40"/>
      <c r="H486" s="242" t="s">
        <v>525</v>
      </c>
      <c r="I486" s="3">
        <v>669</v>
      </c>
      <c r="J486" s="15">
        <v>3</v>
      </c>
      <c r="K486" s="12">
        <v>10</v>
      </c>
      <c r="L486" s="46" t="s">
        <v>634</v>
      </c>
      <c r="M486" s="47" t="s">
        <v>221</v>
      </c>
      <c r="N486" s="47" t="s">
        <v>231</v>
      </c>
      <c r="O486" s="47" t="s">
        <v>240</v>
      </c>
      <c r="P486" s="3"/>
      <c r="Q486" s="125">
        <f t="shared" si="23"/>
        <v>543</v>
      </c>
      <c r="R486" s="125">
        <f t="shared" si="23"/>
        <v>193</v>
      </c>
      <c r="T486" s="230"/>
    </row>
    <row r="487" spans="1:20" ht="31.5">
      <c r="A487" s="48"/>
      <c r="B487" s="49"/>
      <c r="C487" s="65"/>
      <c r="D487" s="58"/>
      <c r="E487" s="55"/>
      <c r="F487" s="55"/>
      <c r="G487" s="40"/>
      <c r="H487" s="2" t="s">
        <v>635</v>
      </c>
      <c r="I487" s="3">
        <v>669</v>
      </c>
      <c r="J487" s="15">
        <v>3</v>
      </c>
      <c r="K487" s="12">
        <v>10</v>
      </c>
      <c r="L487" s="46" t="s">
        <v>519</v>
      </c>
      <c r="M487" s="47" t="s">
        <v>221</v>
      </c>
      <c r="N487" s="47" t="s">
        <v>234</v>
      </c>
      <c r="O487" s="47" t="s">
        <v>627</v>
      </c>
      <c r="P487" s="3"/>
      <c r="Q487" s="125">
        <f t="shared" si="23"/>
        <v>543</v>
      </c>
      <c r="R487" s="125">
        <f t="shared" si="23"/>
        <v>193</v>
      </c>
      <c r="T487" s="230"/>
    </row>
    <row r="488" spans="1:20" ht="18.75">
      <c r="A488" s="48"/>
      <c r="B488" s="49"/>
      <c r="C488" s="65"/>
      <c r="D488" s="58"/>
      <c r="E488" s="55"/>
      <c r="F488" s="55"/>
      <c r="G488" s="40"/>
      <c r="H488" s="2" t="s">
        <v>636</v>
      </c>
      <c r="I488" s="3">
        <v>669</v>
      </c>
      <c r="J488" s="15">
        <v>3</v>
      </c>
      <c r="K488" s="12">
        <v>10</v>
      </c>
      <c r="L488" s="46" t="s">
        <v>519</v>
      </c>
      <c r="M488" s="47" t="s">
        <v>221</v>
      </c>
      <c r="N488" s="47" t="s">
        <v>234</v>
      </c>
      <c r="O488" s="47" t="s">
        <v>637</v>
      </c>
      <c r="P488" s="3"/>
      <c r="Q488" s="125">
        <f>Q490+Q489</f>
        <v>543</v>
      </c>
      <c r="R488" s="125">
        <f>R490+R489</f>
        <v>193</v>
      </c>
      <c r="T488" s="230"/>
    </row>
    <row r="489" spans="1:20" ht="31.5">
      <c r="A489" s="48"/>
      <c r="B489" s="49"/>
      <c r="C489" s="65"/>
      <c r="D489" s="58"/>
      <c r="E489" s="55"/>
      <c r="F489" s="55"/>
      <c r="G489" s="40"/>
      <c r="H489" s="2" t="s">
        <v>353</v>
      </c>
      <c r="I489" s="3">
        <v>669</v>
      </c>
      <c r="J489" s="15">
        <v>3</v>
      </c>
      <c r="K489" s="12">
        <v>10</v>
      </c>
      <c r="L489" s="46" t="s">
        <v>519</v>
      </c>
      <c r="M489" s="47" t="s">
        <v>221</v>
      </c>
      <c r="N489" s="47" t="s">
        <v>234</v>
      </c>
      <c r="O489" s="47" t="s">
        <v>637</v>
      </c>
      <c r="P489" s="3">
        <v>240</v>
      </c>
      <c r="Q489" s="125">
        <f>500-50-50</f>
        <v>400</v>
      </c>
      <c r="R489" s="125">
        <v>50</v>
      </c>
      <c r="T489" s="230"/>
    </row>
    <row r="490" spans="1:20" ht="18.75">
      <c r="A490" s="48"/>
      <c r="B490" s="49"/>
      <c r="C490" s="65"/>
      <c r="D490" s="45"/>
      <c r="E490" s="45"/>
      <c r="F490" s="45"/>
      <c r="G490" s="40"/>
      <c r="H490" s="2" t="s">
        <v>279</v>
      </c>
      <c r="I490" s="3">
        <v>669</v>
      </c>
      <c r="J490" s="15">
        <v>3</v>
      </c>
      <c r="K490" s="12">
        <v>10</v>
      </c>
      <c r="L490" s="46" t="s">
        <v>519</v>
      </c>
      <c r="M490" s="47" t="s">
        <v>221</v>
      </c>
      <c r="N490" s="47" t="s">
        <v>234</v>
      </c>
      <c r="O490" s="47" t="s">
        <v>637</v>
      </c>
      <c r="P490" s="3">
        <v>610</v>
      </c>
      <c r="Q490" s="125">
        <f>50+50-7+50</f>
        <v>143</v>
      </c>
      <c r="R490" s="125">
        <v>143</v>
      </c>
      <c r="T490" s="230"/>
    </row>
    <row r="491" spans="1:20" ht="19.5">
      <c r="A491" s="48"/>
      <c r="B491" s="49"/>
      <c r="C491" s="65"/>
      <c r="D491" s="62"/>
      <c r="E491" s="65"/>
      <c r="F491" s="65"/>
      <c r="G491" s="40"/>
      <c r="H491" s="231" t="s">
        <v>62</v>
      </c>
      <c r="I491" s="77">
        <v>669</v>
      </c>
      <c r="J491" s="78">
        <v>4</v>
      </c>
      <c r="K491" s="78">
        <v>9</v>
      </c>
      <c r="L491" s="79"/>
      <c r="M491" s="80"/>
      <c r="N491" s="80"/>
      <c r="O491" s="80"/>
      <c r="P491" s="85"/>
      <c r="Q491" s="126">
        <f>Q492</f>
        <v>68853</v>
      </c>
      <c r="R491" s="126">
        <f>R492</f>
        <v>63132.2</v>
      </c>
      <c r="T491" s="230"/>
    </row>
    <row r="492" spans="1:20" ht="31.5">
      <c r="A492" s="50"/>
      <c r="B492" s="49"/>
      <c r="C492" s="54"/>
      <c r="D492" s="52"/>
      <c r="E492" s="55"/>
      <c r="F492" s="55"/>
      <c r="G492" s="56">
        <v>530</v>
      </c>
      <c r="H492" s="8" t="s">
        <v>538</v>
      </c>
      <c r="I492" s="7">
        <v>669</v>
      </c>
      <c r="J492" s="12">
        <v>4</v>
      </c>
      <c r="K492" s="12">
        <v>9</v>
      </c>
      <c r="L492" s="46" t="s">
        <v>539</v>
      </c>
      <c r="M492" s="47" t="s">
        <v>222</v>
      </c>
      <c r="N492" s="47" t="s">
        <v>231</v>
      </c>
      <c r="O492" s="47" t="s">
        <v>240</v>
      </c>
      <c r="P492" s="3"/>
      <c r="Q492" s="125">
        <f>Q496+Q493+Q503+Q500</f>
        <v>68853</v>
      </c>
      <c r="R492" s="125">
        <f>R496+R493+R503+R500</f>
        <v>63132.2</v>
      </c>
      <c r="T492" s="230"/>
    </row>
    <row r="493" spans="1:20" ht="18.75">
      <c r="A493" s="61"/>
      <c r="B493" s="62"/>
      <c r="C493" s="57"/>
      <c r="D493" s="58"/>
      <c r="E493" s="55"/>
      <c r="F493" s="55"/>
      <c r="G493" s="40"/>
      <c r="H493" s="8" t="s">
        <v>253</v>
      </c>
      <c r="I493" s="7">
        <v>669</v>
      </c>
      <c r="J493" s="12">
        <v>4</v>
      </c>
      <c r="K493" s="12">
        <v>9</v>
      </c>
      <c r="L493" s="46" t="s">
        <v>539</v>
      </c>
      <c r="M493" s="47" t="s">
        <v>222</v>
      </c>
      <c r="N493" s="47" t="s">
        <v>223</v>
      </c>
      <c r="O493" s="47" t="s">
        <v>240</v>
      </c>
      <c r="P493" s="3"/>
      <c r="Q493" s="125">
        <f>Q494</f>
        <v>60873</v>
      </c>
      <c r="R493" s="125">
        <f>R494</f>
        <v>55152.2</v>
      </c>
      <c r="T493" s="230"/>
    </row>
    <row r="494" spans="1:20" ht="31.5">
      <c r="A494" s="61"/>
      <c r="B494" s="63"/>
      <c r="C494" s="57"/>
      <c r="D494" s="60"/>
      <c r="E494" s="55"/>
      <c r="F494" s="55"/>
      <c r="G494" s="40"/>
      <c r="H494" s="8" t="s">
        <v>291</v>
      </c>
      <c r="I494" s="7">
        <v>669</v>
      </c>
      <c r="J494" s="12">
        <v>4</v>
      </c>
      <c r="K494" s="12">
        <v>9</v>
      </c>
      <c r="L494" s="46" t="s">
        <v>539</v>
      </c>
      <c r="M494" s="47" t="s">
        <v>222</v>
      </c>
      <c r="N494" s="47" t="s">
        <v>223</v>
      </c>
      <c r="O494" s="47" t="s">
        <v>70</v>
      </c>
      <c r="P494" s="3"/>
      <c r="Q494" s="125">
        <f>Q495</f>
        <v>60873</v>
      </c>
      <c r="R494" s="125">
        <f>R495</f>
        <v>55152.2</v>
      </c>
      <c r="T494" s="230"/>
    </row>
    <row r="495" spans="1:20" ht="18.75">
      <c r="A495" s="48"/>
      <c r="B495" s="49"/>
      <c r="C495" s="45"/>
      <c r="D495" s="45"/>
      <c r="E495" s="45"/>
      <c r="F495" s="45"/>
      <c r="G495" s="40"/>
      <c r="H495" s="2" t="s">
        <v>277</v>
      </c>
      <c r="I495" s="7">
        <v>669</v>
      </c>
      <c r="J495" s="12">
        <v>4</v>
      </c>
      <c r="K495" s="12">
        <v>9</v>
      </c>
      <c r="L495" s="46" t="s">
        <v>539</v>
      </c>
      <c r="M495" s="47" t="s">
        <v>222</v>
      </c>
      <c r="N495" s="47" t="s">
        <v>223</v>
      </c>
      <c r="O495" s="47" t="s">
        <v>70</v>
      </c>
      <c r="P495" s="3">
        <v>240</v>
      </c>
      <c r="Q495" s="125">
        <v>60873</v>
      </c>
      <c r="R495" s="125">
        <v>55152.2</v>
      </c>
      <c r="T495" s="230"/>
    </row>
    <row r="496" spans="1:20" ht="18.75">
      <c r="A496" s="48"/>
      <c r="B496" s="49"/>
      <c r="C496" s="45"/>
      <c r="D496" s="45"/>
      <c r="E496" s="45"/>
      <c r="F496" s="45"/>
      <c r="G496" s="40"/>
      <c r="H496" s="8" t="s">
        <v>314</v>
      </c>
      <c r="I496" s="7">
        <v>669</v>
      </c>
      <c r="J496" s="12">
        <v>4</v>
      </c>
      <c r="K496" s="12">
        <v>9</v>
      </c>
      <c r="L496" s="46" t="s">
        <v>539</v>
      </c>
      <c r="M496" s="47" t="s">
        <v>222</v>
      </c>
      <c r="N496" s="47" t="s">
        <v>235</v>
      </c>
      <c r="O496" s="47" t="s">
        <v>240</v>
      </c>
      <c r="P496" s="3"/>
      <c r="Q496" s="125">
        <f>Q497</f>
        <v>4383</v>
      </c>
      <c r="R496" s="125">
        <f>R497</f>
        <v>4383</v>
      </c>
      <c r="T496" s="230"/>
    </row>
    <row r="497" spans="1:20" ht="18.75">
      <c r="A497" s="48"/>
      <c r="B497" s="49"/>
      <c r="C497" s="45"/>
      <c r="D497" s="45"/>
      <c r="E497" s="45"/>
      <c r="F497" s="45"/>
      <c r="G497" s="40"/>
      <c r="H497" s="8" t="s">
        <v>299</v>
      </c>
      <c r="I497" s="7">
        <v>669</v>
      </c>
      <c r="J497" s="12">
        <v>4</v>
      </c>
      <c r="K497" s="12">
        <v>9</v>
      </c>
      <c r="L497" s="46" t="s">
        <v>539</v>
      </c>
      <c r="M497" s="47" t="s">
        <v>222</v>
      </c>
      <c r="N497" s="47" t="s">
        <v>235</v>
      </c>
      <c r="O497" s="47" t="s">
        <v>298</v>
      </c>
      <c r="P497" s="7"/>
      <c r="Q497" s="124">
        <f>Q498+Q499</f>
        <v>4383</v>
      </c>
      <c r="R497" s="124">
        <f>R498+R499</f>
        <v>4383</v>
      </c>
      <c r="T497" s="230"/>
    </row>
    <row r="498" spans="1:20" ht="18.75">
      <c r="A498" s="48"/>
      <c r="B498" s="49"/>
      <c r="C498" s="45"/>
      <c r="D498" s="45"/>
      <c r="E498" s="45"/>
      <c r="F498" s="45"/>
      <c r="G498" s="40"/>
      <c r="H498" s="2" t="s">
        <v>277</v>
      </c>
      <c r="I498" s="7">
        <v>669</v>
      </c>
      <c r="J498" s="12">
        <v>4</v>
      </c>
      <c r="K498" s="12">
        <v>9</v>
      </c>
      <c r="L498" s="46" t="s">
        <v>539</v>
      </c>
      <c r="M498" s="47" t="s">
        <v>222</v>
      </c>
      <c r="N498" s="47" t="s">
        <v>235</v>
      </c>
      <c r="O498" s="47" t="s">
        <v>298</v>
      </c>
      <c r="P498" s="3">
        <v>240</v>
      </c>
      <c r="Q498" s="125">
        <f>300+250-72.9</f>
        <v>477.1</v>
      </c>
      <c r="R498" s="125">
        <v>477.1</v>
      </c>
      <c r="T498" s="230"/>
    </row>
    <row r="499" spans="1:20" ht="18.75">
      <c r="A499" s="48"/>
      <c r="B499" s="49"/>
      <c r="C499" s="45"/>
      <c r="D499" s="45"/>
      <c r="E499" s="45"/>
      <c r="F499" s="45"/>
      <c r="G499" s="40"/>
      <c r="H499" s="2" t="s">
        <v>279</v>
      </c>
      <c r="I499" s="7">
        <v>669</v>
      </c>
      <c r="J499" s="12">
        <v>4</v>
      </c>
      <c r="K499" s="12">
        <v>9</v>
      </c>
      <c r="L499" s="46" t="s">
        <v>539</v>
      </c>
      <c r="M499" s="47" t="s">
        <v>222</v>
      </c>
      <c r="N499" s="47" t="s">
        <v>235</v>
      </c>
      <c r="O499" s="47" t="s">
        <v>298</v>
      </c>
      <c r="P499" s="3">
        <v>610</v>
      </c>
      <c r="Q499" s="125">
        <f>2000+100+900+35+45+750+75.9</f>
        <v>3905.9</v>
      </c>
      <c r="R499" s="125">
        <v>3905.9</v>
      </c>
      <c r="T499" s="230"/>
    </row>
    <row r="500" spans="1:20" ht="31.5" hidden="1">
      <c r="A500" s="48"/>
      <c r="B500" s="49"/>
      <c r="C500" s="45"/>
      <c r="D500" s="45"/>
      <c r="E500" s="45"/>
      <c r="F500" s="45"/>
      <c r="G500" s="40"/>
      <c r="H500" s="2" t="s">
        <v>460</v>
      </c>
      <c r="I500" s="7">
        <v>669</v>
      </c>
      <c r="J500" s="12">
        <v>4</v>
      </c>
      <c r="K500" s="12">
        <v>9</v>
      </c>
      <c r="L500" s="46" t="s">
        <v>539</v>
      </c>
      <c r="M500" s="47" t="s">
        <v>222</v>
      </c>
      <c r="N500" s="47" t="s">
        <v>233</v>
      </c>
      <c r="O500" s="47" t="s">
        <v>240</v>
      </c>
      <c r="P500" s="3"/>
      <c r="Q500" s="346">
        <f>Q501</f>
        <v>0</v>
      </c>
      <c r="R500" s="125">
        <f>R501</f>
        <v>0</v>
      </c>
      <c r="T500" s="230"/>
    </row>
    <row r="501" spans="1:20" ht="31.5" hidden="1">
      <c r="A501" s="48"/>
      <c r="B501" s="49"/>
      <c r="C501" s="45"/>
      <c r="D501" s="45"/>
      <c r="E501" s="45"/>
      <c r="F501" s="45"/>
      <c r="G501" s="40"/>
      <c r="H501" s="2" t="s">
        <v>17</v>
      </c>
      <c r="I501" s="7">
        <v>669</v>
      </c>
      <c r="J501" s="12">
        <v>4</v>
      </c>
      <c r="K501" s="12">
        <v>9</v>
      </c>
      <c r="L501" s="46" t="s">
        <v>539</v>
      </c>
      <c r="M501" s="47" t="s">
        <v>222</v>
      </c>
      <c r="N501" s="47" t="s">
        <v>233</v>
      </c>
      <c r="O501" s="47" t="s">
        <v>16</v>
      </c>
      <c r="P501" s="3"/>
      <c r="Q501" s="346">
        <f>Q502</f>
        <v>0</v>
      </c>
      <c r="R501" s="125">
        <f>R502</f>
        <v>0</v>
      </c>
      <c r="T501" s="230"/>
    </row>
    <row r="502" spans="1:20" ht="18.75" hidden="1">
      <c r="A502" s="48"/>
      <c r="B502" s="49"/>
      <c r="C502" s="45"/>
      <c r="D502" s="45"/>
      <c r="E502" s="45"/>
      <c r="F502" s="45"/>
      <c r="G502" s="40"/>
      <c r="H502" s="2" t="s">
        <v>277</v>
      </c>
      <c r="I502" s="7">
        <v>669</v>
      </c>
      <c r="J502" s="12">
        <v>4</v>
      </c>
      <c r="K502" s="12">
        <v>9</v>
      </c>
      <c r="L502" s="46" t="s">
        <v>539</v>
      </c>
      <c r="M502" s="47" t="s">
        <v>222</v>
      </c>
      <c r="N502" s="47" t="s">
        <v>233</v>
      </c>
      <c r="O502" s="47" t="s">
        <v>16</v>
      </c>
      <c r="P502" s="3">
        <v>240</v>
      </c>
      <c r="Q502" s="346">
        <v>0</v>
      </c>
      <c r="R502" s="125"/>
      <c r="T502" s="230"/>
    </row>
    <row r="503" spans="1:20" ht="47.25">
      <c r="A503" s="48"/>
      <c r="B503" s="49"/>
      <c r="C503" s="45"/>
      <c r="D503" s="45"/>
      <c r="E503" s="45"/>
      <c r="F503" s="45"/>
      <c r="G503" s="40"/>
      <c r="H503" s="2" t="s">
        <v>461</v>
      </c>
      <c r="I503" s="7">
        <v>669</v>
      </c>
      <c r="J503" s="12">
        <v>4</v>
      </c>
      <c r="K503" s="12">
        <v>9</v>
      </c>
      <c r="L503" s="46" t="s">
        <v>539</v>
      </c>
      <c r="M503" s="47" t="s">
        <v>222</v>
      </c>
      <c r="N503" s="47" t="s">
        <v>225</v>
      </c>
      <c r="O503" s="47" t="s">
        <v>240</v>
      </c>
      <c r="P503" s="3"/>
      <c r="Q503" s="125">
        <f>Q504</f>
        <v>3597</v>
      </c>
      <c r="R503" s="125">
        <f>R504</f>
        <v>3597</v>
      </c>
      <c r="T503" s="230"/>
    </row>
    <row r="504" spans="1:20" ht="18.75">
      <c r="A504" s="48"/>
      <c r="B504" s="49"/>
      <c r="C504" s="57"/>
      <c r="D504" s="62"/>
      <c r="E504" s="65"/>
      <c r="F504" s="65"/>
      <c r="G504" s="40"/>
      <c r="H504" s="2" t="s">
        <v>299</v>
      </c>
      <c r="I504" s="7">
        <v>669</v>
      </c>
      <c r="J504" s="12">
        <v>4</v>
      </c>
      <c r="K504" s="12">
        <v>9</v>
      </c>
      <c r="L504" s="46" t="s">
        <v>539</v>
      </c>
      <c r="M504" s="47" t="s">
        <v>222</v>
      </c>
      <c r="N504" s="47" t="s">
        <v>225</v>
      </c>
      <c r="O504" s="47" t="s">
        <v>298</v>
      </c>
      <c r="P504" s="3"/>
      <c r="Q504" s="125">
        <f>Q505</f>
        <v>3597</v>
      </c>
      <c r="R504" s="125">
        <f>R505</f>
        <v>3597</v>
      </c>
      <c r="T504" s="230"/>
    </row>
    <row r="505" spans="1:20" ht="18.75">
      <c r="A505" s="48"/>
      <c r="B505" s="49"/>
      <c r="C505" s="57"/>
      <c r="D505" s="62"/>
      <c r="E505" s="65"/>
      <c r="F505" s="65"/>
      <c r="G505" s="40"/>
      <c r="H505" s="2" t="s">
        <v>277</v>
      </c>
      <c r="I505" s="7">
        <v>669</v>
      </c>
      <c r="J505" s="12">
        <v>4</v>
      </c>
      <c r="K505" s="12">
        <v>9</v>
      </c>
      <c r="L505" s="46" t="s">
        <v>539</v>
      </c>
      <c r="M505" s="47" t="s">
        <v>222</v>
      </c>
      <c r="N505" s="47" t="s">
        <v>225</v>
      </c>
      <c r="O505" s="47" t="s">
        <v>298</v>
      </c>
      <c r="P505" s="3">
        <v>240</v>
      </c>
      <c r="Q505" s="125">
        <f>1700+1900-3</f>
        <v>3597</v>
      </c>
      <c r="R505" s="125">
        <v>3597</v>
      </c>
      <c r="T505" s="230"/>
    </row>
    <row r="506" spans="1:20" ht="19.5">
      <c r="A506" s="48"/>
      <c r="B506" s="49"/>
      <c r="C506" s="57"/>
      <c r="D506" s="62"/>
      <c r="E506" s="65"/>
      <c r="F506" s="65"/>
      <c r="G506" s="40"/>
      <c r="H506" s="231" t="s">
        <v>547</v>
      </c>
      <c r="I506" s="77">
        <v>669</v>
      </c>
      <c r="J506" s="78">
        <v>5</v>
      </c>
      <c r="K506" s="78"/>
      <c r="L506" s="79"/>
      <c r="M506" s="80"/>
      <c r="N506" s="80"/>
      <c r="O506" s="80"/>
      <c r="P506" s="85"/>
      <c r="Q506" s="126">
        <f>Q514+Q535+Q568+Q507</f>
        <v>56717.49999999999</v>
      </c>
      <c r="R506" s="126">
        <f>R514+R535+R568+R507</f>
        <v>52555.49999999999</v>
      </c>
      <c r="T506" s="230"/>
    </row>
    <row r="507" spans="1:20" ht="19.5">
      <c r="A507" s="48"/>
      <c r="B507" s="49"/>
      <c r="C507" s="57"/>
      <c r="D507" s="62"/>
      <c r="E507" s="65"/>
      <c r="F507" s="65"/>
      <c r="G507" s="40"/>
      <c r="H507" s="261" t="s">
        <v>239</v>
      </c>
      <c r="I507" s="77">
        <v>669</v>
      </c>
      <c r="J507" s="78">
        <v>5</v>
      </c>
      <c r="K507" s="78">
        <v>1</v>
      </c>
      <c r="L507" s="79"/>
      <c r="M507" s="80"/>
      <c r="N507" s="80"/>
      <c r="O507" s="80"/>
      <c r="P507" s="85"/>
      <c r="Q507" s="126">
        <f aca="true" t="shared" si="24" ref="Q507:R510">Q508</f>
        <v>791.2</v>
      </c>
      <c r="R507" s="126">
        <f t="shared" si="24"/>
        <v>735.6</v>
      </c>
      <c r="T507" s="230"/>
    </row>
    <row r="508" spans="1:20" ht="31.5">
      <c r="A508" s="48"/>
      <c r="B508" s="49"/>
      <c r="C508" s="57"/>
      <c r="D508" s="62"/>
      <c r="E508" s="65"/>
      <c r="F508" s="65"/>
      <c r="G508" s="40"/>
      <c r="H508" s="262" t="s">
        <v>509</v>
      </c>
      <c r="I508" s="7">
        <v>669</v>
      </c>
      <c r="J508" s="12">
        <v>5</v>
      </c>
      <c r="K508" s="12">
        <v>1</v>
      </c>
      <c r="L508" s="46" t="s">
        <v>510</v>
      </c>
      <c r="M508" s="47" t="s">
        <v>222</v>
      </c>
      <c r="N508" s="47" t="s">
        <v>231</v>
      </c>
      <c r="O508" s="47" t="s">
        <v>240</v>
      </c>
      <c r="P508" s="3"/>
      <c r="Q508" s="125">
        <f>Q509</f>
        <v>791.2</v>
      </c>
      <c r="R508" s="125">
        <f>R509</f>
        <v>735.6</v>
      </c>
      <c r="T508" s="230"/>
    </row>
    <row r="509" spans="1:20" s="111" customFormat="1" ht="31.5">
      <c r="A509" s="81"/>
      <c r="B509" s="82"/>
      <c r="C509" s="74"/>
      <c r="D509" s="74"/>
      <c r="E509" s="74"/>
      <c r="F509" s="74"/>
      <c r="G509" s="75"/>
      <c r="H509" s="262" t="s">
        <v>626</v>
      </c>
      <c r="I509" s="263">
        <v>669</v>
      </c>
      <c r="J509" s="12">
        <v>5</v>
      </c>
      <c r="K509" s="12">
        <v>1</v>
      </c>
      <c r="L509" s="46" t="s">
        <v>510</v>
      </c>
      <c r="M509" s="47" t="s">
        <v>222</v>
      </c>
      <c r="N509" s="47" t="s">
        <v>234</v>
      </c>
      <c r="O509" s="47" t="s">
        <v>240</v>
      </c>
      <c r="P509" s="3"/>
      <c r="Q509" s="125">
        <f>Q510+Q512</f>
        <v>791.2</v>
      </c>
      <c r="R509" s="125">
        <f>R510+R512</f>
        <v>735.6</v>
      </c>
      <c r="S509" s="283"/>
      <c r="T509" s="230"/>
    </row>
    <row r="510" spans="1:20" ht="18.75">
      <c r="A510" s="48"/>
      <c r="B510" s="49"/>
      <c r="C510" s="54"/>
      <c r="D510" s="52"/>
      <c r="E510" s="55"/>
      <c r="F510" s="55"/>
      <c r="G510" s="40"/>
      <c r="H510" s="262" t="s">
        <v>638</v>
      </c>
      <c r="I510" s="7">
        <v>669</v>
      </c>
      <c r="J510" s="12">
        <v>5</v>
      </c>
      <c r="K510" s="12">
        <v>1</v>
      </c>
      <c r="L510" s="46" t="s">
        <v>510</v>
      </c>
      <c r="M510" s="47" t="s">
        <v>222</v>
      </c>
      <c r="N510" s="47" t="s">
        <v>234</v>
      </c>
      <c r="O510" s="47" t="s">
        <v>639</v>
      </c>
      <c r="P510" s="3"/>
      <c r="Q510" s="125">
        <f t="shared" si="24"/>
        <v>401.8</v>
      </c>
      <c r="R510" s="125">
        <f t="shared" si="24"/>
        <v>401.8</v>
      </c>
      <c r="T510" s="230"/>
    </row>
    <row r="511" spans="1:20" ht="18.75">
      <c r="A511" s="48"/>
      <c r="B511" s="49"/>
      <c r="C511" s="65"/>
      <c r="D511" s="45"/>
      <c r="E511" s="45"/>
      <c r="F511" s="45"/>
      <c r="G511" s="40"/>
      <c r="H511" s="262" t="s">
        <v>279</v>
      </c>
      <c r="I511" s="7">
        <v>669</v>
      </c>
      <c r="J511" s="12">
        <v>5</v>
      </c>
      <c r="K511" s="12">
        <v>1</v>
      </c>
      <c r="L511" s="46" t="s">
        <v>510</v>
      </c>
      <c r="M511" s="47" t="s">
        <v>222</v>
      </c>
      <c r="N511" s="47" t="s">
        <v>234</v>
      </c>
      <c r="O511" s="47" t="s">
        <v>639</v>
      </c>
      <c r="P511" s="3">
        <v>610</v>
      </c>
      <c r="Q511" s="125">
        <f>150+200+7+44.8</f>
        <v>401.8</v>
      </c>
      <c r="R511" s="125">
        <v>401.8</v>
      </c>
      <c r="T511" s="230"/>
    </row>
    <row r="512" spans="1:20" ht="31.5">
      <c r="A512" s="48"/>
      <c r="B512" s="49"/>
      <c r="C512" s="57"/>
      <c r="D512" s="62"/>
      <c r="E512" s="65"/>
      <c r="F512" s="65"/>
      <c r="G512" s="40"/>
      <c r="H512" s="262" t="s">
        <v>640</v>
      </c>
      <c r="I512" s="7">
        <v>669</v>
      </c>
      <c r="J512" s="12">
        <v>5</v>
      </c>
      <c r="K512" s="12">
        <v>1</v>
      </c>
      <c r="L512" s="46" t="s">
        <v>510</v>
      </c>
      <c r="M512" s="47" t="s">
        <v>222</v>
      </c>
      <c r="N512" s="47" t="s">
        <v>234</v>
      </c>
      <c r="O512" s="47" t="s">
        <v>641</v>
      </c>
      <c r="P512" s="3"/>
      <c r="Q512" s="125">
        <f>Q513</f>
        <v>389.40000000000003</v>
      </c>
      <c r="R512" s="125">
        <f>R513</f>
        <v>333.8</v>
      </c>
      <c r="T512" s="230"/>
    </row>
    <row r="513" spans="1:20" ht="18.75">
      <c r="A513" s="48"/>
      <c r="B513" s="49"/>
      <c r="C513" s="57"/>
      <c r="D513" s="62"/>
      <c r="E513" s="65"/>
      <c r="F513" s="65"/>
      <c r="G513" s="40"/>
      <c r="H513" s="2" t="s">
        <v>277</v>
      </c>
      <c r="I513" s="7">
        <v>669</v>
      </c>
      <c r="J513" s="12">
        <v>5</v>
      </c>
      <c r="K513" s="12">
        <v>1</v>
      </c>
      <c r="L513" s="46" t="s">
        <v>510</v>
      </c>
      <c r="M513" s="47" t="s">
        <v>222</v>
      </c>
      <c r="N513" s="47" t="s">
        <v>234</v>
      </c>
      <c r="O513" s="47" t="s">
        <v>641</v>
      </c>
      <c r="P513" s="3">
        <v>240</v>
      </c>
      <c r="Q513" s="125">
        <f>381.6+7.8</f>
        <v>389.40000000000003</v>
      </c>
      <c r="R513" s="125">
        <v>333.8</v>
      </c>
      <c r="T513" s="230"/>
    </row>
    <row r="514" spans="1:20" ht="19.5">
      <c r="A514" s="48"/>
      <c r="B514" s="49"/>
      <c r="C514" s="57"/>
      <c r="D514" s="62"/>
      <c r="E514" s="65"/>
      <c r="F514" s="65"/>
      <c r="G514" s="40"/>
      <c r="H514" s="245" t="s">
        <v>290</v>
      </c>
      <c r="I514" s="77">
        <v>669</v>
      </c>
      <c r="J514" s="78">
        <v>5</v>
      </c>
      <c r="K514" s="78">
        <v>2</v>
      </c>
      <c r="L514" s="79"/>
      <c r="M514" s="80"/>
      <c r="N514" s="80"/>
      <c r="O514" s="80"/>
      <c r="P514" s="85"/>
      <c r="Q514" s="126">
        <f>Q521+Q515</f>
        <v>949.1</v>
      </c>
      <c r="R514" s="126">
        <f>R521+R515</f>
        <v>949.1</v>
      </c>
      <c r="T514" s="230"/>
    </row>
    <row r="515" spans="1:20" ht="31.5" hidden="1">
      <c r="A515" s="48"/>
      <c r="B515" s="49"/>
      <c r="C515" s="57"/>
      <c r="D515" s="62"/>
      <c r="E515" s="65"/>
      <c r="F515" s="65"/>
      <c r="G515" s="40"/>
      <c r="H515" s="262" t="s">
        <v>509</v>
      </c>
      <c r="I515" s="7">
        <v>669</v>
      </c>
      <c r="J515" s="12">
        <v>5</v>
      </c>
      <c r="K515" s="12">
        <v>2</v>
      </c>
      <c r="L515" s="46" t="s">
        <v>510</v>
      </c>
      <c r="M515" s="47" t="s">
        <v>222</v>
      </c>
      <c r="N515" s="47" t="s">
        <v>231</v>
      </c>
      <c r="O515" s="47" t="s">
        <v>240</v>
      </c>
      <c r="P515" s="3"/>
      <c r="Q515" s="346">
        <f>Q516</f>
        <v>0</v>
      </c>
      <c r="R515" s="125">
        <f>R516</f>
        <v>0</v>
      </c>
      <c r="T515" s="230"/>
    </row>
    <row r="516" spans="1:20" ht="31.5" hidden="1">
      <c r="A516" s="48"/>
      <c r="B516" s="49"/>
      <c r="C516" s="57"/>
      <c r="D516" s="62"/>
      <c r="E516" s="65"/>
      <c r="F516" s="65"/>
      <c r="G516" s="40"/>
      <c r="H516" s="262" t="s">
        <v>626</v>
      </c>
      <c r="I516" s="7">
        <v>669</v>
      </c>
      <c r="J516" s="12">
        <v>5</v>
      </c>
      <c r="K516" s="12">
        <v>2</v>
      </c>
      <c r="L516" s="46" t="s">
        <v>510</v>
      </c>
      <c r="M516" s="47" t="s">
        <v>222</v>
      </c>
      <c r="N516" s="47" t="s">
        <v>234</v>
      </c>
      <c r="O516" s="47" t="s">
        <v>240</v>
      </c>
      <c r="P516" s="3"/>
      <c r="Q516" s="346">
        <f>Q517+Q520</f>
        <v>0</v>
      </c>
      <c r="R516" s="125">
        <f>R517+R520</f>
        <v>0</v>
      </c>
      <c r="T516" s="230"/>
    </row>
    <row r="517" spans="1:20" ht="18.75" hidden="1">
      <c r="A517" s="48"/>
      <c r="B517" s="49"/>
      <c r="C517" s="57"/>
      <c r="D517" s="62"/>
      <c r="E517" s="65"/>
      <c r="F517" s="65"/>
      <c r="G517" s="40"/>
      <c r="H517" s="1" t="s">
        <v>64</v>
      </c>
      <c r="I517" s="7">
        <v>669</v>
      </c>
      <c r="J517" s="12">
        <v>5</v>
      </c>
      <c r="K517" s="12">
        <v>2</v>
      </c>
      <c r="L517" s="46" t="s">
        <v>510</v>
      </c>
      <c r="M517" s="47" t="s">
        <v>222</v>
      </c>
      <c r="N517" s="47" t="s">
        <v>234</v>
      </c>
      <c r="O517" s="47" t="s">
        <v>243</v>
      </c>
      <c r="P517" s="3"/>
      <c r="Q517" s="346">
        <f>Q518</f>
        <v>0</v>
      </c>
      <c r="R517" s="125">
        <f>R518</f>
        <v>0</v>
      </c>
      <c r="T517" s="230"/>
    </row>
    <row r="518" spans="1:20" ht="18.75" hidden="1">
      <c r="A518" s="48"/>
      <c r="B518" s="49"/>
      <c r="C518" s="57"/>
      <c r="D518" s="62"/>
      <c r="E518" s="65"/>
      <c r="F518" s="65"/>
      <c r="G518" s="40"/>
      <c r="H518" s="2" t="s">
        <v>277</v>
      </c>
      <c r="I518" s="7">
        <v>669</v>
      </c>
      <c r="J518" s="12">
        <v>5</v>
      </c>
      <c r="K518" s="12">
        <v>2</v>
      </c>
      <c r="L518" s="46" t="s">
        <v>510</v>
      </c>
      <c r="M518" s="47" t="s">
        <v>222</v>
      </c>
      <c r="N518" s="47" t="s">
        <v>234</v>
      </c>
      <c r="O518" s="47" t="s">
        <v>243</v>
      </c>
      <c r="P518" s="3">
        <v>240</v>
      </c>
      <c r="Q518" s="346">
        <v>0</v>
      </c>
      <c r="R518" s="125"/>
      <c r="T518" s="230"/>
    </row>
    <row r="519" spans="1:20" ht="18.75" hidden="1">
      <c r="A519" s="48"/>
      <c r="B519" s="49"/>
      <c r="C519" s="57"/>
      <c r="D519" s="62"/>
      <c r="E519" s="65"/>
      <c r="F519" s="65"/>
      <c r="G519" s="40"/>
      <c r="H519" s="16" t="s">
        <v>456</v>
      </c>
      <c r="I519" s="7">
        <v>669</v>
      </c>
      <c r="J519" s="12">
        <v>5</v>
      </c>
      <c r="K519" s="12">
        <v>2</v>
      </c>
      <c r="L519" s="46" t="s">
        <v>510</v>
      </c>
      <c r="M519" s="47" t="s">
        <v>222</v>
      </c>
      <c r="N519" s="47" t="s">
        <v>234</v>
      </c>
      <c r="O519" s="47" t="s">
        <v>294</v>
      </c>
      <c r="P519" s="3"/>
      <c r="Q519" s="346">
        <f>Q520</f>
        <v>0</v>
      </c>
      <c r="R519" s="125">
        <f>R520</f>
        <v>0</v>
      </c>
      <c r="T519" s="230"/>
    </row>
    <row r="520" spans="1:20" ht="18.75" hidden="1">
      <c r="A520" s="48"/>
      <c r="B520" s="49"/>
      <c r="C520" s="57"/>
      <c r="D520" s="62"/>
      <c r="E520" s="65"/>
      <c r="F520" s="65"/>
      <c r="G520" s="40"/>
      <c r="H520" s="8" t="s">
        <v>277</v>
      </c>
      <c r="I520" s="7">
        <v>669</v>
      </c>
      <c r="J520" s="12">
        <v>5</v>
      </c>
      <c r="K520" s="12">
        <v>2</v>
      </c>
      <c r="L520" s="46" t="s">
        <v>510</v>
      </c>
      <c r="M520" s="47" t="s">
        <v>222</v>
      </c>
      <c r="N520" s="47" t="s">
        <v>234</v>
      </c>
      <c r="O520" s="47" t="s">
        <v>294</v>
      </c>
      <c r="P520" s="3">
        <v>240</v>
      </c>
      <c r="Q520" s="346">
        <f>1087.2-1087.2</f>
        <v>0</v>
      </c>
      <c r="R520" s="125"/>
      <c r="T520" s="230"/>
    </row>
    <row r="521" spans="1:20" ht="31.5">
      <c r="A521" s="48"/>
      <c r="B521" s="49"/>
      <c r="C521" s="57"/>
      <c r="D521" s="62"/>
      <c r="E521" s="65"/>
      <c r="F521" s="65"/>
      <c r="G521" s="40"/>
      <c r="H521" s="257" t="s">
        <v>550</v>
      </c>
      <c r="I521" s="7">
        <v>669</v>
      </c>
      <c r="J521" s="12">
        <v>5</v>
      </c>
      <c r="K521" s="12">
        <v>2</v>
      </c>
      <c r="L521" s="46" t="s">
        <v>551</v>
      </c>
      <c r="M521" s="47" t="s">
        <v>222</v>
      </c>
      <c r="N521" s="47" t="s">
        <v>231</v>
      </c>
      <c r="O521" s="47" t="s">
        <v>240</v>
      </c>
      <c r="P521" s="3"/>
      <c r="Q521" s="125">
        <f>Q522+Q529+Q532</f>
        <v>949.1</v>
      </c>
      <c r="R521" s="125">
        <f>R522+R529+R532</f>
        <v>949.1</v>
      </c>
      <c r="T521" s="230"/>
    </row>
    <row r="522" spans="1:20" ht="18.75">
      <c r="A522" s="48"/>
      <c r="B522" s="49"/>
      <c r="C522" s="57"/>
      <c r="D522" s="62"/>
      <c r="E522" s="65"/>
      <c r="F522" s="65"/>
      <c r="G522" s="40"/>
      <c r="H522" s="257" t="s">
        <v>555</v>
      </c>
      <c r="I522" s="263">
        <v>669</v>
      </c>
      <c r="J522" s="12">
        <v>5</v>
      </c>
      <c r="K522" s="12">
        <v>2</v>
      </c>
      <c r="L522" s="46" t="s">
        <v>551</v>
      </c>
      <c r="M522" s="47" t="s">
        <v>222</v>
      </c>
      <c r="N522" s="47" t="s">
        <v>233</v>
      </c>
      <c r="O522" s="47" t="s">
        <v>240</v>
      </c>
      <c r="P522" s="3"/>
      <c r="Q522" s="125">
        <f>Q523+Q525+Q527</f>
        <v>900</v>
      </c>
      <c r="R522" s="125">
        <f>R523+R525+R527</f>
        <v>900</v>
      </c>
      <c r="T522" s="230"/>
    </row>
    <row r="523" spans="1:20" s="111" customFormat="1" ht="18.75">
      <c r="A523" s="81"/>
      <c r="B523" s="82"/>
      <c r="C523" s="96"/>
      <c r="D523" s="106"/>
      <c r="E523" s="84"/>
      <c r="F523" s="84"/>
      <c r="G523" s="94"/>
      <c r="H523" s="257" t="s">
        <v>642</v>
      </c>
      <c r="I523" s="7">
        <v>669</v>
      </c>
      <c r="J523" s="12">
        <v>5</v>
      </c>
      <c r="K523" s="12">
        <v>2</v>
      </c>
      <c r="L523" s="46" t="s">
        <v>551</v>
      </c>
      <c r="M523" s="47" t="s">
        <v>222</v>
      </c>
      <c r="N523" s="47" t="s">
        <v>233</v>
      </c>
      <c r="O523" s="47" t="s">
        <v>557</v>
      </c>
      <c r="P523" s="3"/>
      <c r="Q523" s="125">
        <f>Q524</f>
        <v>900</v>
      </c>
      <c r="R523" s="125">
        <f>R524</f>
        <v>900</v>
      </c>
      <c r="S523" s="283"/>
      <c r="T523" s="230"/>
    </row>
    <row r="524" spans="1:20" s="111" customFormat="1" ht="18.75">
      <c r="A524" s="81"/>
      <c r="B524" s="82"/>
      <c r="C524" s="96"/>
      <c r="D524" s="106"/>
      <c r="E524" s="84"/>
      <c r="F524" s="84"/>
      <c r="G524" s="94"/>
      <c r="H524" s="2" t="s">
        <v>277</v>
      </c>
      <c r="I524" s="7">
        <v>669</v>
      </c>
      <c r="J524" s="12">
        <v>5</v>
      </c>
      <c r="K524" s="12">
        <v>2</v>
      </c>
      <c r="L524" s="46" t="s">
        <v>551</v>
      </c>
      <c r="M524" s="47" t="s">
        <v>222</v>
      </c>
      <c r="N524" s="47" t="s">
        <v>233</v>
      </c>
      <c r="O524" s="47" t="s">
        <v>557</v>
      </c>
      <c r="P524" s="3">
        <v>240</v>
      </c>
      <c r="Q524" s="125">
        <f>2000-1650+200+150+200</f>
        <v>900</v>
      </c>
      <c r="R524" s="125">
        <v>900</v>
      </c>
      <c r="S524" s="283"/>
      <c r="T524" s="230"/>
    </row>
    <row r="525" spans="1:20" ht="31.5" hidden="1">
      <c r="A525" s="48"/>
      <c r="B525" s="49"/>
      <c r="C525" s="54"/>
      <c r="D525" s="52"/>
      <c r="E525" s="55"/>
      <c r="F525" s="55"/>
      <c r="G525" s="40"/>
      <c r="H525" s="242" t="s">
        <v>643</v>
      </c>
      <c r="I525" s="7">
        <v>669</v>
      </c>
      <c r="J525" s="12">
        <v>5</v>
      </c>
      <c r="K525" s="12">
        <v>2</v>
      </c>
      <c r="L525" s="46" t="s">
        <v>551</v>
      </c>
      <c r="M525" s="47" t="s">
        <v>222</v>
      </c>
      <c r="N525" s="47" t="s">
        <v>233</v>
      </c>
      <c r="O525" s="47" t="s">
        <v>644</v>
      </c>
      <c r="P525" s="3"/>
      <c r="Q525" s="346">
        <f>Q526</f>
        <v>0</v>
      </c>
      <c r="R525" s="125">
        <f>R526</f>
        <v>0</v>
      </c>
      <c r="T525" s="230"/>
    </row>
    <row r="526" spans="1:20" ht="18.75" hidden="1">
      <c r="A526" s="48"/>
      <c r="B526" s="49"/>
      <c r="C526" s="57"/>
      <c r="D526" s="58"/>
      <c r="E526" s="55"/>
      <c r="F526" s="55"/>
      <c r="G526" s="56"/>
      <c r="H526" s="2" t="s">
        <v>277</v>
      </c>
      <c r="I526" s="7">
        <v>669</v>
      </c>
      <c r="J526" s="12">
        <v>5</v>
      </c>
      <c r="K526" s="12">
        <v>2</v>
      </c>
      <c r="L526" s="46" t="s">
        <v>551</v>
      </c>
      <c r="M526" s="47" t="s">
        <v>222</v>
      </c>
      <c r="N526" s="47" t="s">
        <v>233</v>
      </c>
      <c r="O526" s="47" t="s">
        <v>644</v>
      </c>
      <c r="P526" s="3">
        <v>240</v>
      </c>
      <c r="Q526" s="346">
        <v>0</v>
      </c>
      <c r="R526" s="125"/>
      <c r="T526" s="230"/>
    </row>
    <row r="527" spans="1:20" ht="18.75" hidden="1">
      <c r="A527" s="48"/>
      <c r="B527" s="49"/>
      <c r="C527" s="57"/>
      <c r="D527" s="58"/>
      <c r="E527" s="55"/>
      <c r="F527" s="55"/>
      <c r="G527" s="56"/>
      <c r="H527" s="241" t="s">
        <v>645</v>
      </c>
      <c r="I527" s="7">
        <v>669</v>
      </c>
      <c r="J527" s="12">
        <v>5</v>
      </c>
      <c r="K527" s="12">
        <v>2</v>
      </c>
      <c r="L527" s="46" t="s">
        <v>551</v>
      </c>
      <c r="M527" s="47" t="s">
        <v>222</v>
      </c>
      <c r="N527" s="47" t="s">
        <v>233</v>
      </c>
      <c r="O527" s="47" t="s">
        <v>646</v>
      </c>
      <c r="P527" s="3"/>
      <c r="Q527" s="346">
        <f>Q528</f>
        <v>0</v>
      </c>
      <c r="R527" s="125">
        <f>R528</f>
        <v>0</v>
      </c>
      <c r="T527" s="230"/>
    </row>
    <row r="528" spans="1:20" ht="18.75" hidden="1">
      <c r="A528" s="50"/>
      <c r="B528" s="49"/>
      <c r="C528" s="57"/>
      <c r="D528" s="58"/>
      <c r="E528" s="55"/>
      <c r="F528" s="55"/>
      <c r="G528" s="56"/>
      <c r="H528" s="2" t="s">
        <v>277</v>
      </c>
      <c r="I528" s="7">
        <v>669</v>
      </c>
      <c r="J528" s="12">
        <v>5</v>
      </c>
      <c r="K528" s="12">
        <v>2</v>
      </c>
      <c r="L528" s="46" t="s">
        <v>551</v>
      </c>
      <c r="M528" s="47" t="s">
        <v>222</v>
      </c>
      <c r="N528" s="47" t="s">
        <v>233</v>
      </c>
      <c r="O528" s="47" t="s">
        <v>646</v>
      </c>
      <c r="P528" s="3">
        <v>240</v>
      </c>
      <c r="Q528" s="346">
        <v>0</v>
      </c>
      <c r="R528" s="125"/>
      <c r="T528" s="230"/>
    </row>
    <row r="529" spans="1:20" ht="18.75" hidden="1">
      <c r="A529" s="50"/>
      <c r="B529" s="49"/>
      <c r="C529" s="57"/>
      <c r="D529" s="58"/>
      <c r="E529" s="55"/>
      <c r="F529" s="55"/>
      <c r="G529" s="56"/>
      <c r="H529" s="257" t="s">
        <v>558</v>
      </c>
      <c r="I529" s="7">
        <v>669</v>
      </c>
      <c r="J529" s="12">
        <v>5</v>
      </c>
      <c r="K529" s="12">
        <v>2</v>
      </c>
      <c r="L529" s="46" t="s">
        <v>551</v>
      </c>
      <c r="M529" s="47" t="s">
        <v>222</v>
      </c>
      <c r="N529" s="47" t="s">
        <v>225</v>
      </c>
      <c r="O529" s="47" t="s">
        <v>240</v>
      </c>
      <c r="P529" s="3"/>
      <c r="Q529" s="346">
        <f>Q530</f>
        <v>0</v>
      </c>
      <c r="R529" s="125">
        <f>R530</f>
        <v>0</v>
      </c>
      <c r="T529" s="230"/>
    </row>
    <row r="530" spans="1:20" s="111" customFormat="1" ht="18.75" hidden="1">
      <c r="A530" s="81"/>
      <c r="B530" s="82"/>
      <c r="C530" s="96"/>
      <c r="D530" s="106"/>
      <c r="E530" s="84"/>
      <c r="F530" s="84"/>
      <c r="G530" s="94"/>
      <c r="H530" s="257" t="s">
        <v>559</v>
      </c>
      <c r="I530" s="7">
        <v>669</v>
      </c>
      <c r="J530" s="12">
        <v>5</v>
      </c>
      <c r="K530" s="12">
        <v>2</v>
      </c>
      <c r="L530" s="46" t="s">
        <v>551</v>
      </c>
      <c r="M530" s="47" t="s">
        <v>222</v>
      </c>
      <c r="N530" s="47" t="s">
        <v>225</v>
      </c>
      <c r="O530" s="47" t="s">
        <v>560</v>
      </c>
      <c r="P530" s="3"/>
      <c r="Q530" s="346">
        <f>Q531</f>
        <v>0</v>
      </c>
      <c r="R530" s="125">
        <f>R531</f>
        <v>0</v>
      </c>
      <c r="S530" s="283"/>
      <c r="T530" s="230"/>
    </row>
    <row r="531" spans="1:20" s="111" customFormat="1" ht="18.75" hidden="1">
      <c r="A531" s="81"/>
      <c r="B531" s="82"/>
      <c r="C531" s="96"/>
      <c r="D531" s="106"/>
      <c r="E531" s="84"/>
      <c r="F531" s="84"/>
      <c r="G531" s="94"/>
      <c r="H531" s="2" t="s">
        <v>277</v>
      </c>
      <c r="I531" s="7">
        <v>669</v>
      </c>
      <c r="J531" s="12">
        <v>5</v>
      </c>
      <c r="K531" s="12">
        <v>2</v>
      </c>
      <c r="L531" s="46" t="s">
        <v>551</v>
      </c>
      <c r="M531" s="47" t="s">
        <v>222</v>
      </c>
      <c r="N531" s="47" t="s">
        <v>225</v>
      </c>
      <c r="O531" s="47" t="s">
        <v>560</v>
      </c>
      <c r="P531" s="3">
        <v>240</v>
      </c>
      <c r="Q531" s="346">
        <f>400+500-900</f>
        <v>0</v>
      </c>
      <c r="R531" s="125"/>
      <c r="S531" s="283"/>
      <c r="T531" s="230"/>
    </row>
    <row r="532" spans="1:20" ht="31.5">
      <c r="A532" s="48"/>
      <c r="B532" s="49"/>
      <c r="C532" s="54"/>
      <c r="D532" s="52"/>
      <c r="E532" s="55"/>
      <c r="F532" s="55"/>
      <c r="G532" s="40"/>
      <c r="H532" s="2" t="s">
        <v>647</v>
      </c>
      <c r="I532" s="7">
        <v>669</v>
      </c>
      <c r="J532" s="12">
        <v>5</v>
      </c>
      <c r="K532" s="12">
        <v>2</v>
      </c>
      <c r="L532" s="46" t="s">
        <v>551</v>
      </c>
      <c r="M532" s="47" t="s">
        <v>222</v>
      </c>
      <c r="N532" s="47" t="s">
        <v>601</v>
      </c>
      <c r="O532" s="47" t="s">
        <v>627</v>
      </c>
      <c r="P532" s="3"/>
      <c r="Q532" s="125">
        <f>Q534</f>
        <v>49.099999999999994</v>
      </c>
      <c r="R532" s="125">
        <f>R534</f>
        <v>49.1</v>
      </c>
      <c r="T532" s="230"/>
    </row>
    <row r="533" spans="1:20" ht="18.75">
      <c r="A533" s="48"/>
      <c r="B533" s="49"/>
      <c r="C533" s="57"/>
      <c r="D533" s="58"/>
      <c r="E533" s="55"/>
      <c r="F533" s="55"/>
      <c r="G533" s="40"/>
      <c r="H533" s="2" t="s">
        <v>642</v>
      </c>
      <c r="I533" s="7">
        <v>669</v>
      </c>
      <c r="J533" s="12">
        <v>5</v>
      </c>
      <c r="K533" s="12">
        <v>2</v>
      </c>
      <c r="L533" s="46" t="s">
        <v>551</v>
      </c>
      <c r="M533" s="47" t="s">
        <v>222</v>
      </c>
      <c r="N533" s="47" t="s">
        <v>601</v>
      </c>
      <c r="O533" s="47" t="s">
        <v>557</v>
      </c>
      <c r="P533" s="3"/>
      <c r="Q533" s="125">
        <f>Q534</f>
        <v>49.099999999999994</v>
      </c>
      <c r="R533" s="125">
        <f>R534</f>
        <v>49.1</v>
      </c>
      <c r="T533" s="230"/>
    </row>
    <row r="534" spans="1:20" ht="18.75">
      <c r="A534" s="50"/>
      <c r="B534" s="49"/>
      <c r="C534" s="57"/>
      <c r="D534" s="58"/>
      <c r="E534" s="55"/>
      <c r="F534" s="55"/>
      <c r="G534" s="56"/>
      <c r="H534" s="2" t="s">
        <v>277</v>
      </c>
      <c r="I534" s="7">
        <v>669</v>
      </c>
      <c r="J534" s="12">
        <v>5</v>
      </c>
      <c r="K534" s="12">
        <v>2</v>
      </c>
      <c r="L534" s="46" t="s">
        <v>551</v>
      </c>
      <c r="M534" s="47" t="s">
        <v>222</v>
      </c>
      <c r="N534" s="47" t="s">
        <v>601</v>
      </c>
      <c r="O534" s="47" t="s">
        <v>557</v>
      </c>
      <c r="P534" s="3">
        <v>240</v>
      </c>
      <c r="Q534" s="125">
        <f>200-150.9</f>
        <v>49.099999999999994</v>
      </c>
      <c r="R534" s="125">
        <v>49.1</v>
      </c>
      <c r="T534" s="230"/>
    </row>
    <row r="535" spans="1:20" ht="19.5">
      <c r="A535" s="50"/>
      <c r="B535" s="49"/>
      <c r="C535" s="57"/>
      <c r="D535" s="58"/>
      <c r="E535" s="55"/>
      <c r="F535" s="55"/>
      <c r="G535" s="56"/>
      <c r="H535" s="243" t="s">
        <v>22</v>
      </c>
      <c r="I535" s="77">
        <v>669</v>
      </c>
      <c r="J535" s="78">
        <v>5</v>
      </c>
      <c r="K535" s="78">
        <v>3</v>
      </c>
      <c r="L535" s="79"/>
      <c r="M535" s="80"/>
      <c r="N535" s="80"/>
      <c r="O535" s="80"/>
      <c r="P535" s="85"/>
      <c r="Q535" s="126">
        <f>Q536+Q556+Q548</f>
        <v>40347.5</v>
      </c>
      <c r="R535" s="126">
        <f>R536+R556+R548</f>
        <v>36376.299999999996</v>
      </c>
      <c r="T535" s="230"/>
    </row>
    <row r="536" spans="1:20" ht="31.5">
      <c r="A536" s="50"/>
      <c r="B536" s="49"/>
      <c r="C536" s="57"/>
      <c r="D536" s="58"/>
      <c r="E536" s="55"/>
      <c r="F536" s="55"/>
      <c r="G536" s="56"/>
      <c r="H536" s="8" t="s">
        <v>571</v>
      </c>
      <c r="I536" s="7">
        <v>669</v>
      </c>
      <c r="J536" s="12">
        <v>5</v>
      </c>
      <c r="K536" s="12">
        <v>3</v>
      </c>
      <c r="L536" s="46" t="s">
        <v>572</v>
      </c>
      <c r="M536" s="47" t="s">
        <v>222</v>
      </c>
      <c r="N536" s="47" t="s">
        <v>231</v>
      </c>
      <c r="O536" s="47" t="s">
        <v>240</v>
      </c>
      <c r="P536" s="7"/>
      <c r="Q536" s="124">
        <f>Q537</f>
        <v>6683.799999999999</v>
      </c>
      <c r="R536" s="124">
        <f>R537</f>
        <v>6581.800000000001</v>
      </c>
      <c r="T536" s="230"/>
    </row>
    <row r="537" spans="1:20" ht="31.5">
      <c r="A537" s="50"/>
      <c r="B537" s="49"/>
      <c r="C537" s="57"/>
      <c r="D537" s="58"/>
      <c r="E537" s="55"/>
      <c r="F537" s="55"/>
      <c r="G537" s="56"/>
      <c r="H537" s="8" t="s">
        <v>648</v>
      </c>
      <c r="I537" s="7">
        <v>669</v>
      </c>
      <c r="J537" s="12">
        <v>5</v>
      </c>
      <c r="K537" s="12">
        <v>3</v>
      </c>
      <c r="L537" s="46" t="s">
        <v>572</v>
      </c>
      <c r="M537" s="47" t="s">
        <v>222</v>
      </c>
      <c r="N537" s="47" t="s">
        <v>325</v>
      </c>
      <c r="O537" s="47" t="s">
        <v>240</v>
      </c>
      <c r="P537" s="3"/>
      <c r="Q537" s="125">
        <f>Q538+Q546+Q540+Q542+Q544</f>
        <v>6683.799999999999</v>
      </c>
      <c r="R537" s="125">
        <f>R538+R546+R540+R542+R544</f>
        <v>6581.800000000001</v>
      </c>
      <c r="T537" s="230"/>
    </row>
    <row r="538" spans="1:20" ht="18.75">
      <c r="A538" s="50"/>
      <c r="B538" s="49"/>
      <c r="C538" s="57"/>
      <c r="D538" s="58"/>
      <c r="E538" s="55"/>
      <c r="F538" s="55"/>
      <c r="G538" s="56"/>
      <c r="H538" s="8" t="s">
        <v>649</v>
      </c>
      <c r="I538" s="7">
        <v>669</v>
      </c>
      <c r="J538" s="12">
        <v>5</v>
      </c>
      <c r="K538" s="12">
        <v>3</v>
      </c>
      <c r="L538" s="46" t="s">
        <v>572</v>
      </c>
      <c r="M538" s="47" t="s">
        <v>222</v>
      </c>
      <c r="N538" s="47" t="s">
        <v>325</v>
      </c>
      <c r="O538" s="47" t="s">
        <v>650</v>
      </c>
      <c r="P538" s="3"/>
      <c r="Q538" s="125">
        <f>Q539</f>
        <v>3698.7999999999997</v>
      </c>
      <c r="R538" s="125">
        <f>R539</f>
        <v>3596.8</v>
      </c>
      <c r="T538" s="230"/>
    </row>
    <row r="539" spans="1:20" s="111" customFormat="1" ht="18.75">
      <c r="A539" s="81"/>
      <c r="B539" s="82"/>
      <c r="C539" s="96"/>
      <c r="D539" s="106"/>
      <c r="E539" s="84"/>
      <c r="F539" s="84"/>
      <c r="G539" s="94"/>
      <c r="H539" s="2" t="s">
        <v>277</v>
      </c>
      <c r="I539" s="7">
        <v>669</v>
      </c>
      <c r="J539" s="12">
        <v>5</v>
      </c>
      <c r="K539" s="12">
        <v>3</v>
      </c>
      <c r="L539" s="46" t="s">
        <v>572</v>
      </c>
      <c r="M539" s="47" t="s">
        <v>222</v>
      </c>
      <c r="N539" s="47" t="s">
        <v>325</v>
      </c>
      <c r="O539" s="47" t="s">
        <v>650</v>
      </c>
      <c r="P539" s="3">
        <v>240</v>
      </c>
      <c r="Q539" s="125">
        <f>5490.7+100+120-201.2-1201.1-609.6</f>
        <v>3698.7999999999997</v>
      </c>
      <c r="R539" s="125">
        <v>3596.8</v>
      </c>
      <c r="S539" s="283"/>
      <c r="T539" s="230"/>
    </row>
    <row r="540" spans="1:20" ht="18.75">
      <c r="A540" s="48"/>
      <c r="B540" s="49"/>
      <c r="C540" s="54"/>
      <c r="D540" s="52"/>
      <c r="E540" s="55"/>
      <c r="F540" s="55"/>
      <c r="G540" s="40"/>
      <c r="H540" s="23" t="s">
        <v>574</v>
      </c>
      <c r="I540" s="7">
        <v>669</v>
      </c>
      <c r="J540" s="12">
        <v>5</v>
      </c>
      <c r="K540" s="12">
        <v>3</v>
      </c>
      <c r="L540" s="46" t="s">
        <v>572</v>
      </c>
      <c r="M540" s="47" t="s">
        <v>222</v>
      </c>
      <c r="N540" s="47" t="s">
        <v>325</v>
      </c>
      <c r="O540" s="47" t="s">
        <v>326</v>
      </c>
      <c r="P540" s="3"/>
      <c r="Q540" s="125">
        <f>Q541</f>
        <v>75</v>
      </c>
      <c r="R540" s="125">
        <f>R541</f>
        <v>75</v>
      </c>
      <c r="T540" s="230"/>
    </row>
    <row r="541" spans="1:20" ht="18.75">
      <c r="A541" s="48"/>
      <c r="B541" s="49"/>
      <c r="C541" s="57"/>
      <c r="D541" s="58"/>
      <c r="E541" s="55"/>
      <c r="F541" s="55"/>
      <c r="G541" s="40"/>
      <c r="H541" s="2" t="s">
        <v>277</v>
      </c>
      <c r="I541" s="7">
        <v>669</v>
      </c>
      <c r="J541" s="12">
        <v>5</v>
      </c>
      <c r="K541" s="12">
        <v>3</v>
      </c>
      <c r="L541" s="46" t="s">
        <v>572</v>
      </c>
      <c r="M541" s="47" t="s">
        <v>222</v>
      </c>
      <c r="N541" s="47" t="s">
        <v>325</v>
      </c>
      <c r="O541" s="47" t="s">
        <v>326</v>
      </c>
      <c r="P541" s="3">
        <v>240</v>
      </c>
      <c r="Q541" s="125">
        <v>75</v>
      </c>
      <c r="R541" s="125">
        <v>75</v>
      </c>
      <c r="T541" s="230"/>
    </row>
    <row r="542" spans="1:20" ht="18.75">
      <c r="A542" s="48"/>
      <c r="B542" s="49"/>
      <c r="C542" s="57"/>
      <c r="D542" s="58"/>
      <c r="E542" s="55"/>
      <c r="F542" s="55"/>
      <c r="G542" s="56"/>
      <c r="H542" s="8" t="s">
        <v>651</v>
      </c>
      <c r="I542" s="7">
        <v>669</v>
      </c>
      <c r="J542" s="12">
        <v>5</v>
      </c>
      <c r="K542" s="12">
        <v>3</v>
      </c>
      <c r="L542" s="46" t="s">
        <v>572</v>
      </c>
      <c r="M542" s="47" t="s">
        <v>222</v>
      </c>
      <c r="N542" s="47" t="s">
        <v>325</v>
      </c>
      <c r="O542" s="47" t="s">
        <v>652</v>
      </c>
      <c r="P542" s="3"/>
      <c r="Q542" s="125">
        <f>Q543</f>
        <v>555.6</v>
      </c>
      <c r="R542" s="125">
        <f>R543</f>
        <v>555.6</v>
      </c>
      <c r="T542" s="230"/>
    </row>
    <row r="543" spans="1:20" ht="18.75">
      <c r="A543" s="50"/>
      <c r="B543" s="49"/>
      <c r="C543" s="57"/>
      <c r="D543" s="58"/>
      <c r="E543" s="55"/>
      <c r="F543" s="55"/>
      <c r="G543" s="56"/>
      <c r="H543" s="2" t="s">
        <v>277</v>
      </c>
      <c r="I543" s="7">
        <v>669</v>
      </c>
      <c r="J543" s="12">
        <v>5</v>
      </c>
      <c r="K543" s="12">
        <v>3</v>
      </c>
      <c r="L543" s="46" t="s">
        <v>572</v>
      </c>
      <c r="M543" s="47" t="s">
        <v>222</v>
      </c>
      <c r="N543" s="47" t="s">
        <v>325</v>
      </c>
      <c r="O543" s="47" t="s">
        <v>652</v>
      </c>
      <c r="P543" s="3">
        <v>240</v>
      </c>
      <c r="Q543" s="125">
        <f>555.6</f>
        <v>555.6</v>
      </c>
      <c r="R543" s="125">
        <v>555.6</v>
      </c>
      <c r="T543" s="230"/>
    </row>
    <row r="544" spans="1:20" ht="18.75" hidden="1">
      <c r="A544" s="50"/>
      <c r="B544" s="49"/>
      <c r="C544" s="57"/>
      <c r="D544" s="58"/>
      <c r="E544" s="55"/>
      <c r="F544" s="55"/>
      <c r="G544" s="56"/>
      <c r="H544" s="8" t="s">
        <v>653</v>
      </c>
      <c r="I544" s="7">
        <v>669</v>
      </c>
      <c r="J544" s="12">
        <v>5</v>
      </c>
      <c r="K544" s="12">
        <v>3</v>
      </c>
      <c r="L544" s="46" t="s">
        <v>572</v>
      </c>
      <c r="M544" s="47" t="s">
        <v>222</v>
      </c>
      <c r="N544" s="47" t="s">
        <v>325</v>
      </c>
      <c r="O544" s="47" t="s">
        <v>654</v>
      </c>
      <c r="P544" s="7"/>
      <c r="Q544" s="345">
        <f>Q545</f>
        <v>0</v>
      </c>
      <c r="R544" s="124">
        <f>R545</f>
        <v>0</v>
      </c>
      <c r="T544" s="230"/>
    </row>
    <row r="545" spans="1:20" ht="18.75" hidden="1">
      <c r="A545" s="50"/>
      <c r="B545" s="49"/>
      <c r="C545" s="57"/>
      <c r="D545" s="58"/>
      <c r="E545" s="55"/>
      <c r="F545" s="55"/>
      <c r="G545" s="56"/>
      <c r="H545" s="2" t="s">
        <v>277</v>
      </c>
      <c r="I545" s="7">
        <v>669</v>
      </c>
      <c r="J545" s="12">
        <v>5</v>
      </c>
      <c r="K545" s="12">
        <v>3</v>
      </c>
      <c r="L545" s="46" t="s">
        <v>572</v>
      </c>
      <c r="M545" s="47" t="s">
        <v>222</v>
      </c>
      <c r="N545" s="47" t="s">
        <v>325</v>
      </c>
      <c r="O545" s="47" t="s">
        <v>654</v>
      </c>
      <c r="P545" s="3">
        <v>240</v>
      </c>
      <c r="Q545" s="346">
        <v>0</v>
      </c>
      <c r="R545" s="125"/>
      <c r="T545" s="230"/>
    </row>
    <row r="546" spans="1:20" ht="18.75">
      <c r="A546" s="50"/>
      <c r="B546" s="49"/>
      <c r="C546" s="57"/>
      <c r="D546" s="58"/>
      <c r="E546" s="55"/>
      <c r="F546" s="55"/>
      <c r="G546" s="56"/>
      <c r="H546" s="8" t="s">
        <v>655</v>
      </c>
      <c r="I546" s="7">
        <v>669</v>
      </c>
      <c r="J546" s="12">
        <v>5</v>
      </c>
      <c r="K546" s="12">
        <v>3</v>
      </c>
      <c r="L546" s="46" t="s">
        <v>572</v>
      </c>
      <c r="M546" s="47" t="s">
        <v>222</v>
      </c>
      <c r="N546" s="47" t="s">
        <v>325</v>
      </c>
      <c r="O546" s="47" t="s">
        <v>656</v>
      </c>
      <c r="P546" s="7"/>
      <c r="Q546" s="124">
        <f>Q547</f>
        <v>2354.3999999999996</v>
      </c>
      <c r="R546" s="124">
        <f>R547</f>
        <v>2354.4</v>
      </c>
      <c r="T546" s="230"/>
    </row>
    <row r="547" spans="1:20" s="172" customFormat="1" ht="18.75">
      <c r="A547" s="97"/>
      <c r="B547" s="98"/>
      <c r="C547" s="99"/>
      <c r="D547" s="104"/>
      <c r="E547" s="105"/>
      <c r="F547" s="105"/>
      <c r="G547" s="101">
        <v>521</v>
      </c>
      <c r="H547" s="2" t="s">
        <v>277</v>
      </c>
      <c r="I547" s="7">
        <v>669</v>
      </c>
      <c r="J547" s="12">
        <v>5</v>
      </c>
      <c r="K547" s="12">
        <v>3</v>
      </c>
      <c r="L547" s="46" t="s">
        <v>572</v>
      </c>
      <c r="M547" s="47" t="s">
        <v>222</v>
      </c>
      <c r="N547" s="47" t="s">
        <v>325</v>
      </c>
      <c r="O547" s="47" t="s">
        <v>656</v>
      </c>
      <c r="P547" s="3">
        <v>240</v>
      </c>
      <c r="Q547" s="125">
        <f>2852.5+500-549.8-448.3</f>
        <v>2354.3999999999996</v>
      </c>
      <c r="R547" s="125">
        <v>2354.4</v>
      </c>
      <c r="S547" s="286"/>
      <c r="T547" s="230"/>
    </row>
    <row r="548" spans="1:20" s="111" customFormat="1" ht="31.5">
      <c r="A548" s="81"/>
      <c r="B548" s="82"/>
      <c r="C548" s="81"/>
      <c r="D548" s="349">
        <v>5550000</v>
      </c>
      <c r="E548" s="350"/>
      <c r="F548" s="350"/>
      <c r="G548" s="75">
        <v>314</v>
      </c>
      <c r="H548" s="8" t="s">
        <v>509</v>
      </c>
      <c r="I548" s="7">
        <v>669</v>
      </c>
      <c r="J548" s="12">
        <v>5</v>
      </c>
      <c r="K548" s="12">
        <v>3</v>
      </c>
      <c r="L548" s="46" t="s">
        <v>510</v>
      </c>
      <c r="M548" s="47" t="s">
        <v>222</v>
      </c>
      <c r="N548" s="47" t="s">
        <v>231</v>
      </c>
      <c r="O548" s="47" t="s">
        <v>240</v>
      </c>
      <c r="P548" s="3"/>
      <c r="Q548" s="125">
        <f>Q549</f>
        <v>4313.2</v>
      </c>
      <c r="R548" s="125">
        <f>R549</f>
        <v>3865.7</v>
      </c>
      <c r="S548" s="283"/>
      <c r="T548" s="230"/>
    </row>
    <row r="549" spans="1:20" s="111" customFormat="1" ht="31.5">
      <c r="A549" s="81"/>
      <c r="B549" s="82"/>
      <c r="C549" s="92"/>
      <c r="D549" s="89"/>
      <c r="E549" s="354">
        <v>5551700</v>
      </c>
      <c r="F549" s="354"/>
      <c r="G549" s="75">
        <v>314</v>
      </c>
      <c r="H549" s="8" t="s">
        <v>626</v>
      </c>
      <c r="I549" s="7">
        <v>669</v>
      </c>
      <c r="J549" s="12">
        <v>5</v>
      </c>
      <c r="K549" s="12">
        <v>3</v>
      </c>
      <c r="L549" s="46" t="s">
        <v>510</v>
      </c>
      <c r="M549" s="47" t="s">
        <v>222</v>
      </c>
      <c r="N549" s="47" t="s">
        <v>234</v>
      </c>
      <c r="O549" s="47" t="s">
        <v>240</v>
      </c>
      <c r="P549" s="3"/>
      <c r="Q549" s="125">
        <f>Q552+Q554+Q550</f>
        <v>4313.2</v>
      </c>
      <c r="R549" s="125">
        <f>R552+R554+R550</f>
        <v>3865.7</v>
      </c>
      <c r="S549" s="283"/>
      <c r="T549" s="230"/>
    </row>
    <row r="550" spans="1:20" ht="18.75">
      <c r="A550" s="50"/>
      <c r="B550" s="49"/>
      <c r="C550" s="54"/>
      <c r="D550" s="52"/>
      <c r="E550" s="55"/>
      <c r="F550" s="55"/>
      <c r="G550" s="40"/>
      <c r="H550" s="8" t="s">
        <v>277</v>
      </c>
      <c r="I550" s="7">
        <v>669</v>
      </c>
      <c r="J550" s="12">
        <v>5</v>
      </c>
      <c r="K550" s="12">
        <v>3</v>
      </c>
      <c r="L550" s="46" t="s">
        <v>510</v>
      </c>
      <c r="M550" s="47" t="s">
        <v>222</v>
      </c>
      <c r="N550" s="47" t="s">
        <v>234</v>
      </c>
      <c r="O550" s="47" t="s">
        <v>243</v>
      </c>
      <c r="P550" s="3"/>
      <c r="Q550" s="125">
        <f>Q551</f>
        <v>10</v>
      </c>
      <c r="R550" s="125">
        <f>R551</f>
        <v>5.5</v>
      </c>
      <c r="T550" s="230"/>
    </row>
    <row r="551" spans="1:20" ht="18.75">
      <c r="A551" s="50"/>
      <c r="B551" s="49"/>
      <c r="C551" s="54"/>
      <c r="D551" s="52"/>
      <c r="E551" s="55"/>
      <c r="F551" s="55"/>
      <c r="G551" s="40"/>
      <c r="H551" s="8" t="s">
        <v>278</v>
      </c>
      <c r="I551" s="7">
        <v>669</v>
      </c>
      <c r="J551" s="12">
        <v>5</v>
      </c>
      <c r="K551" s="12">
        <v>3</v>
      </c>
      <c r="L551" s="46" t="s">
        <v>510</v>
      </c>
      <c r="M551" s="47" t="s">
        <v>222</v>
      </c>
      <c r="N551" s="47" t="s">
        <v>234</v>
      </c>
      <c r="O551" s="47" t="s">
        <v>243</v>
      </c>
      <c r="P551" s="3">
        <v>850</v>
      </c>
      <c r="Q551" s="125">
        <v>10</v>
      </c>
      <c r="R551" s="125">
        <v>5.5</v>
      </c>
      <c r="T551" s="230"/>
    </row>
    <row r="552" spans="1:20" ht="18.75">
      <c r="A552" s="50"/>
      <c r="B552" s="49"/>
      <c r="C552" s="54"/>
      <c r="D552" s="52"/>
      <c r="E552" s="55"/>
      <c r="F552" s="55"/>
      <c r="G552" s="40"/>
      <c r="H552" s="8" t="s">
        <v>65</v>
      </c>
      <c r="I552" s="7">
        <v>669</v>
      </c>
      <c r="J552" s="12">
        <v>5</v>
      </c>
      <c r="K552" s="12">
        <v>3</v>
      </c>
      <c r="L552" s="46" t="s">
        <v>510</v>
      </c>
      <c r="M552" s="47" t="s">
        <v>222</v>
      </c>
      <c r="N552" s="47" t="s">
        <v>234</v>
      </c>
      <c r="O552" s="47" t="s">
        <v>66</v>
      </c>
      <c r="P552" s="3"/>
      <c r="Q552" s="125">
        <f>Q553</f>
        <v>679.2</v>
      </c>
      <c r="R552" s="125">
        <f>R553</f>
        <v>679.2</v>
      </c>
      <c r="T552" s="230"/>
    </row>
    <row r="553" spans="1:20" ht="18.75">
      <c r="A553" s="50"/>
      <c r="B553" s="49"/>
      <c r="C553" s="54"/>
      <c r="D553" s="52"/>
      <c r="E553" s="55"/>
      <c r="F553" s="55"/>
      <c r="G553" s="40"/>
      <c r="H553" s="8" t="s">
        <v>279</v>
      </c>
      <c r="I553" s="7">
        <v>669</v>
      </c>
      <c r="J553" s="12">
        <v>5</v>
      </c>
      <c r="K553" s="12">
        <v>3</v>
      </c>
      <c r="L553" s="46" t="s">
        <v>510</v>
      </c>
      <c r="M553" s="47" t="s">
        <v>222</v>
      </c>
      <c r="N553" s="47" t="s">
        <v>234</v>
      </c>
      <c r="O553" s="47" t="s">
        <v>66</v>
      </c>
      <c r="P553" s="3">
        <v>610</v>
      </c>
      <c r="Q553" s="125">
        <f>150+150+140+100+139.2</f>
        <v>679.2</v>
      </c>
      <c r="R553" s="125">
        <v>679.2</v>
      </c>
      <c r="T553" s="230"/>
    </row>
    <row r="554" spans="1:20" ht="18.75">
      <c r="A554" s="50"/>
      <c r="B554" s="49"/>
      <c r="C554" s="54"/>
      <c r="D554" s="52"/>
      <c r="E554" s="55"/>
      <c r="F554" s="55"/>
      <c r="G554" s="40"/>
      <c r="H554" s="16" t="s">
        <v>456</v>
      </c>
      <c r="I554" s="7">
        <v>669</v>
      </c>
      <c r="J554" s="12">
        <v>5</v>
      </c>
      <c r="K554" s="12">
        <v>3</v>
      </c>
      <c r="L554" s="46" t="s">
        <v>510</v>
      </c>
      <c r="M554" s="47" t="s">
        <v>222</v>
      </c>
      <c r="N554" s="47" t="s">
        <v>234</v>
      </c>
      <c r="O554" s="47" t="s">
        <v>294</v>
      </c>
      <c r="P554" s="3"/>
      <c r="Q554" s="125">
        <f>Q555</f>
        <v>3624</v>
      </c>
      <c r="R554" s="125">
        <f>R555</f>
        <v>3181</v>
      </c>
      <c r="T554" s="230"/>
    </row>
    <row r="555" spans="1:20" ht="18.75">
      <c r="A555" s="50"/>
      <c r="B555" s="49"/>
      <c r="C555" s="54"/>
      <c r="D555" s="52"/>
      <c r="E555" s="55"/>
      <c r="F555" s="55"/>
      <c r="G555" s="40"/>
      <c r="H555" s="8" t="s">
        <v>277</v>
      </c>
      <c r="I555" s="7">
        <v>669</v>
      </c>
      <c r="J555" s="12">
        <v>5</v>
      </c>
      <c r="K555" s="12">
        <v>3</v>
      </c>
      <c r="L555" s="46" t="s">
        <v>510</v>
      </c>
      <c r="M555" s="47" t="s">
        <v>222</v>
      </c>
      <c r="N555" s="47" t="s">
        <v>234</v>
      </c>
      <c r="O555" s="47" t="s">
        <v>294</v>
      </c>
      <c r="P555" s="3">
        <v>240</v>
      </c>
      <c r="Q555" s="125">
        <f>2536.8+1087.2</f>
        <v>3624</v>
      </c>
      <c r="R555" s="125">
        <v>3181</v>
      </c>
      <c r="T555" s="230"/>
    </row>
    <row r="556" spans="1:20" ht="31.5">
      <c r="A556" s="50"/>
      <c r="B556" s="49"/>
      <c r="C556" s="54"/>
      <c r="D556" s="52"/>
      <c r="E556" s="55"/>
      <c r="F556" s="55"/>
      <c r="G556" s="40"/>
      <c r="H556" s="8" t="s">
        <v>575</v>
      </c>
      <c r="I556" s="7">
        <v>669</v>
      </c>
      <c r="J556" s="12">
        <v>5</v>
      </c>
      <c r="K556" s="12">
        <v>3</v>
      </c>
      <c r="L556" s="46" t="s">
        <v>576</v>
      </c>
      <c r="M556" s="47" t="s">
        <v>222</v>
      </c>
      <c r="N556" s="47" t="s">
        <v>231</v>
      </c>
      <c r="O556" s="47" t="s">
        <v>240</v>
      </c>
      <c r="P556" s="3"/>
      <c r="Q556" s="125">
        <f>Q560+Q566+Q563+Q557</f>
        <v>29350.5</v>
      </c>
      <c r="R556" s="125">
        <f>R560+R566+R563+R557</f>
        <v>25928.8</v>
      </c>
      <c r="T556" s="230"/>
    </row>
    <row r="557" spans="1:20" ht="31.5">
      <c r="A557" s="50"/>
      <c r="B557" s="49"/>
      <c r="C557" s="54"/>
      <c r="D557" s="52"/>
      <c r="E557" s="55"/>
      <c r="F557" s="55"/>
      <c r="G557" s="40"/>
      <c r="H557" s="8" t="s">
        <v>577</v>
      </c>
      <c r="I557" s="7">
        <v>669</v>
      </c>
      <c r="J557" s="12">
        <v>5</v>
      </c>
      <c r="K557" s="12">
        <v>3</v>
      </c>
      <c r="L557" s="46" t="s">
        <v>576</v>
      </c>
      <c r="M557" s="47" t="s">
        <v>222</v>
      </c>
      <c r="N557" s="47" t="s">
        <v>223</v>
      </c>
      <c r="O557" s="47" t="s">
        <v>627</v>
      </c>
      <c r="P557" s="3"/>
      <c r="Q557" s="125">
        <f>Q559</f>
        <v>550</v>
      </c>
      <c r="R557" s="125">
        <f>R559</f>
        <v>550</v>
      </c>
      <c r="T557" s="230"/>
    </row>
    <row r="558" spans="1:20" ht="18.75">
      <c r="A558" s="50"/>
      <c r="B558" s="49"/>
      <c r="C558" s="54"/>
      <c r="D558" s="52"/>
      <c r="E558" s="55"/>
      <c r="F558" s="55"/>
      <c r="G558" s="40"/>
      <c r="H558" s="8" t="s">
        <v>578</v>
      </c>
      <c r="I558" s="7">
        <v>669</v>
      </c>
      <c r="J558" s="12">
        <v>5</v>
      </c>
      <c r="K558" s="12">
        <v>3</v>
      </c>
      <c r="L558" s="46" t="s">
        <v>576</v>
      </c>
      <c r="M558" s="47" t="s">
        <v>222</v>
      </c>
      <c r="N558" s="47" t="s">
        <v>223</v>
      </c>
      <c r="O558" s="47" t="s">
        <v>567</v>
      </c>
      <c r="P558" s="3"/>
      <c r="Q558" s="125">
        <f>Q559</f>
        <v>550</v>
      </c>
      <c r="R558" s="125">
        <f>R559</f>
        <v>550</v>
      </c>
      <c r="T558" s="230"/>
    </row>
    <row r="559" spans="1:20" ht="18.75">
      <c r="A559" s="50"/>
      <c r="B559" s="49"/>
      <c r="C559" s="54"/>
      <c r="D559" s="52"/>
      <c r="E559" s="55"/>
      <c r="F559" s="55"/>
      <c r="G559" s="40"/>
      <c r="H559" s="2" t="s">
        <v>277</v>
      </c>
      <c r="I559" s="7">
        <v>669</v>
      </c>
      <c r="J559" s="12">
        <v>5</v>
      </c>
      <c r="K559" s="12">
        <v>3</v>
      </c>
      <c r="L559" s="46" t="s">
        <v>576</v>
      </c>
      <c r="M559" s="47" t="s">
        <v>222</v>
      </c>
      <c r="N559" s="47" t="s">
        <v>223</v>
      </c>
      <c r="O559" s="47" t="s">
        <v>567</v>
      </c>
      <c r="P559" s="3">
        <v>240</v>
      </c>
      <c r="Q559" s="125">
        <f>30+500+138-118</f>
        <v>550</v>
      </c>
      <c r="R559" s="125">
        <v>550</v>
      </c>
      <c r="T559" s="230"/>
    </row>
    <row r="560" spans="1:20" ht="18.75">
      <c r="A560" s="50"/>
      <c r="B560" s="49"/>
      <c r="C560" s="54"/>
      <c r="D560" s="52"/>
      <c r="E560" s="55"/>
      <c r="F560" s="55"/>
      <c r="G560" s="40"/>
      <c r="H560" s="8" t="s">
        <v>579</v>
      </c>
      <c r="I560" s="7">
        <v>669</v>
      </c>
      <c r="J560" s="12">
        <v>5</v>
      </c>
      <c r="K560" s="12">
        <v>3</v>
      </c>
      <c r="L560" s="46" t="s">
        <v>576</v>
      </c>
      <c r="M560" s="47" t="s">
        <v>222</v>
      </c>
      <c r="N560" s="47" t="s">
        <v>235</v>
      </c>
      <c r="O560" s="47" t="s">
        <v>240</v>
      </c>
      <c r="P560" s="3"/>
      <c r="Q560" s="125">
        <f>Q561</f>
        <v>7585.2</v>
      </c>
      <c r="R560" s="125">
        <f>R561</f>
        <v>7585.2</v>
      </c>
      <c r="T560" s="230"/>
    </row>
    <row r="561" spans="1:20" ht="18.75">
      <c r="A561" s="50"/>
      <c r="B561" s="49"/>
      <c r="C561" s="54"/>
      <c r="D561" s="52"/>
      <c r="E561" s="55"/>
      <c r="F561" s="55"/>
      <c r="G561" s="40"/>
      <c r="H561" s="8" t="s">
        <v>580</v>
      </c>
      <c r="I561" s="7">
        <v>669</v>
      </c>
      <c r="J561" s="12">
        <v>5</v>
      </c>
      <c r="K561" s="12">
        <v>3</v>
      </c>
      <c r="L561" s="46" t="s">
        <v>576</v>
      </c>
      <c r="M561" s="47" t="s">
        <v>222</v>
      </c>
      <c r="N561" s="47" t="s">
        <v>235</v>
      </c>
      <c r="O561" s="47" t="s">
        <v>581</v>
      </c>
      <c r="P561" s="3"/>
      <c r="Q561" s="125">
        <f>Q562</f>
        <v>7585.2</v>
      </c>
      <c r="R561" s="125">
        <f>R562</f>
        <v>7585.2</v>
      </c>
      <c r="T561" s="230"/>
    </row>
    <row r="562" spans="1:20" ht="18.75">
      <c r="A562" s="50"/>
      <c r="B562" s="49"/>
      <c r="C562" s="54"/>
      <c r="D562" s="52"/>
      <c r="E562" s="55"/>
      <c r="F562" s="55"/>
      <c r="G562" s="40"/>
      <c r="H562" s="2" t="s">
        <v>277</v>
      </c>
      <c r="I562" s="7">
        <v>669</v>
      </c>
      <c r="J562" s="12">
        <v>5</v>
      </c>
      <c r="K562" s="12">
        <v>3</v>
      </c>
      <c r="L562" s="46" t="s">
        <v>576</v>
      </c>
      <c r="M562" s="47" t="s">
        <v>222</v>
      </c>
      <c r="N562" s="47" t="s">
        <v>235</v>
      </c>
      <c r="O562" s="47" t="s">
        <v>581</v>
      </c>
      <c r="P562" s="3">
        <v>240</v>
      </c>
      <c r="Q562" s="125">
        <f>7885.2-300</f>
        <v>7585.2</v>
      </c>
      <c r="R562" s="125">
        <v>7585.2</v>
      </c>
      <c r="T562" s="230"/>
    </row>
    <row r="563" spans="1:20" ht="18.75">
      <c r="A563" s="50"/>
      <c r="B563" s="49"/>
      <c r="C563" s="54"/>
      <c r="D563" s="52"/>
      <c r="E563" s="55"/>
      <c r="F563" s="55"/>
      <c r="G563" s="40"/>
      <c r="H563" s="8" t="s">
        <v>657</v>
      </c>
      <c r="I563" s="7">
        <v>669</v>
      </c>
      <c r="J563" s="12">
        <v>5</v>
      </c>
      <c r="K563" s="12">
        <v>3</v>
      </c>
      <c r="L563" s="46" t="s">
        <v>576</v>
      </c>
      <c r="M563" s="47" t="s">
        <v>222</v>
      </c>
      <c r="N563" s="47" t="s">
        <v>225</v>
      </c>
      <c r="O563" s="47" t="s">
        <v>240</v>
      </c>
      <c r="P563" s="3"/>
      <c r="Q563" s="125">
        <f>Q565</f>
        <v>21215.3</v>
      </c>
      <c r="R563" s="125">
        <f>R565</f>
        <v>17793.6</v>
      </c>
      <c r="T563" s="230"/>
    </row>
    <row r="564" spans="1:20" ht="18.75">
      <c r="A564" s="50"/>
      <c r="B564" s="49"/>
      <c r="C564" s="54"/>
      <c r="D564" s="52"/>
      <c r="E564" s="55"/>
      <c r="F564" s="55"/>
      <c r="G564" s="40"/>
      <c r="H564" s="8" t="s">
        <v>578</v>
      </c>
      <c r="I564" s="7">
        <v>669</v>
      </c>
      <c r="J564" s="12">
        <v>5</v>
      </c>
      <c r="K564" s="12">
        <v>3</v>
      </c>
      <c r="L564" s="46" t="s">
        <v>576</v>
      </c>
      <c r="M564" s="47" t="s">
        <v>222</v>
      </c>
      <c r="N564" s="47" t="s">
        <v>225</v>
      </c>
      <c r="O564" s="47" t="s">
        <v>567</v>
      </c>
      <c r="P564" s="3"/>
      <c r="Q564" s="125">
        <f>Q565</f>
        <v>21215.3</v>
      </c>
      <c r="R564" s="125">
        <f>R565</f>
        <v>17793.6</v>
      </c>
      <c r="T564" s="230"/>
    </row>
    <row r="565" spans="1:20" ht="18.75">
      <c r="A565" s="50"/>
      <c r="B565" s="49"/>
      <c r="C565" s="54"/>
      <c r="D565" s="52"/>
      <c r="E565" s="55"/>
      <c r="F565" s="55"/>
      <c r="G565" s="40"/>
      <c r="H565" s="2" t="s">
        <v>277</v>
      </c>
      <c r="I565" s="7">
        <v>669</v>
      </c>
      <c r="J565" s="12">
        <v>5</v>
      </c>
      <c r="K565" s="12">
        <v>3</v>
      </c>
      <c r="L565" s="46" t="s">
        <v>576</v>
      </c>
      <c r="M565" s="47" t="s">
        <v>222</v>
      </c>
      <c r="N565" s="47" t="s">
        <v>225</v>
      </c>
      <c r="O565" s="47" t="s">
        <v>567</v>
      </c>
      <c r="P565" s="3">
        <v>240</v>
      </c>
      <c r="Q565" s="125">
        <v>21215.3</v>
      </c>
      <c r="R565" s="125">
        <v>17793.6</v>
      </c>
      <c r="T565" s="230"/>
    </row>
    <row r="566" spans="1:20" ht="18.75" hidden="1">
      <c r="A566" s="50"/>
      <c r="B566" s="49"/>
      <c r="C566" s="54"/>
      <c r="D566" s="52"/>
      <c r="E566" s="55"/>
      <c r="F566" s="55"/>
      <c r="G566" s="40"/>
      <c r="H566" s="8" t="s">
        <v>651</v>
      </c>
      <c r="I566" s="7">
        <v>669</v>
      </c>
      <c r="J566" s="12">
        <v>5</v>
      </c>
      <c r="K566" s="12">
        <v>3</v>
      </c>
      <c r="L566" s="46" t="s">
        <v>576</v>
      </c>
      <c r="M566" s="47" t="s">
        <v>222</v>
      </c>
      <c r="N566" s="47" t="s">
        <v>325</v>
      </c>
      <c r="O566" s="47" t="s">
        <v>652</v>
      </c>
      <c r="P566" s="3"/>
      <c r="Q566" s="346">
        <f>Q567</f>
        <v>0</v>
      </c>
      <c r="R566" s="125">
        <f>R567</f>
        <v>0</v>
      </c>
      <c r="T566" s="230"/>
    </row>
    <row r="567" spans="1:20" ht="18.75" hidden="1">
      <c r="A567" s="50"/>
      <c r="B567" s="49"/>
      <c r="C567" s="54"/>
      <c r="D567" s="52"/>
      <c r="E567" s="55"/>
      <c r="F567" s="55"/>
      <c r="G567" s="40"/>
      <c r="H567" s="2" t="s">
        <v>277</v>
      </c>
      <c r="I567" s="7">
        <v>669</v>
      </c>
      <c r="J567" s="12">
        <v>5</v>
      </c>
      <c r="K567" s="12">
        <v>3</v>
      </c>
      <c r="L567" s="46" t="s">
        <v>576</v>
      </c>
      <c r="M567" s="47" t="s">
        <v>222</v>
      </c>
      <c r="N567" s="47" t="s">
        <v>325</v>
      </c>
      <c r="O567" s="47" t="s">
        <v>652</v>
      </c>
      <c r="P567" s="3">
        <v>240</v>
      </c>
      <c r="Q567" s="346">
        <v>0</v>
      </c>
      <c r="R567" s="125"/>
      <c r="T567" s="230"/>
    </row>
    <row r="568" spans="1:20" ht="19.5">
      <c r="A568" s="50"/>
      <c r="B568" s="49"/>
      <c r="C568" s="54"/>
      <c r="D568" s="52"/>
      <c r="E568" s="55"/>
      <c r="F568" s="55"/>
      <c r="G568" s="40"/>
      <c r="H568" s="264" t="s">
        <v>242</v>
      </c>
      <c r="I568" s="77">
        <v>669</v>
      </c>
      <c r="J568" s="78">
        <v>5</v>
      </c>
      <c r="K568" s="78">
        <v>5</v>
      </c>
      <c r="L568" s="79"/>
      <c r="M568" s="80"/>
      <c r="N568" s="80"/>
      <c r="O568" s="80"/>
      <c r="P568" s="85"/>
      <c r="Q568" s="126">
        <f>Q569+Q577</f>
        <v>14629.699999999999</v>
      </c>
      <c r="R568" s="126">
        <f>R569+R577</f>
        <v>14494.5</v>
      </c>
      <c r="T568" s="230"/>
    </row>
    <row r="569" spans="1:20" ht="31.5">
      <c r="A569" s="50"/>
      <c r="B569" s="49"/>
      <c r="C569" s="54"/>
      <c r="D569" s="52"/>
      <c r="E569" s="55"/>
      <c r="F569" s="55"/>
      <c r="G569" s="40"/>
      <c r="H569" s="8" t="s">
        <v>509</v>
      </c>
      <c r="I569" s="7">
        <v>669</v>
      </c>
      <c r="J569" s="12">
        <v>5</v>
      </c>
      <c r="K569" s="12">
        <v>5</v>
      </c>
      <c r="L569" s="46" t="s">
        <v>510</v>
      </c>
      <c r="M569" s="47" t="s">
        <v>222</v>
      </c>
      <c r="N569" s="47" t="s">
        <v>231</v>
      </c>
      <c r="O569" s="47" t="s">
        <v>240</v>
      </c>
      <c r="P569" s="3"/>
      <c r="Q569" s="125">
        <f>Q570</f>
        <v>12928.8</v>
      </c>
      <c r="R569" s="125">
        <f>R570</f>
        <v>12817.3</v>
      </c>
      <c r="T569" s="230"/>
    </row>
    <row r="570" spans="1:20" ht="31.5">
      <c r="A570" s="50"/>
      <c r="B570" s="49"/>
      <c r="C570" s="54"/>
      <c r="D570" s="52"/>
      <c r="E570" s="55"/>
      <c r="F570" s="55"/>
      <c r="G570" s="40"/>
      <c r="H570" s="8" t="s">
        <v>630</v>
      </c>
      <c r="I570" s="7">
        <v>669</v>
      </c>
      <c r="J570" s="12">
        <v>5</v>
      </c>
      <c r="K570" s="12">
        <v>5</v>
      </c>
      <c r="L570" s="46" t="s">
        <v>510</v>
      </c>
      <c r="M570" s="47" t="s">
        <v>222</v>
      </c>
      <c r="N570" s="47" t="s">
        <v>234</v>
      </c>
      <c r="O570" s="47" t="s">
        <v>240</v>
      </c>
      <c r="P570" s="3"/>
      <c r="Q570" s="125">
        <f>Q571+Q575+Q573</f>
        <v>12928.8</v>
      </c>
      <c r="R570" s="125">
        <f>R571+R575+R573</f>
        <v>12817.3</v>
      </c>
      <c r="T570" s="230"/>
    </row>
    <row r="571" spans="1:20" ht="18.75">
      <c r="A571" s="50"/>
      <c r="B571" s="49"/>
      <c r="C571" s="54"/>
      <c r="D571" s="52"/>
      <c r="E571" s="55"/>
      <c r="F571" s="55"/>
      <c r="G571" s="40"/>
      <c r="H571" s="8" t="s">
        <v>65</v>
      </c>
      <c r="I571" s="7">
        <v>669</v>
      </c>
      <c r="J571" s="12">
        <v>5</v>
      </c>
      <c r="K571" s="12">
        <v>5</v>
      </c>
      <c r="L571" s="46" t="s">
        <v>510</v>
      </c>
      <c r="M571" s="47" t="s">
        <v>222</v>
      </c>
      <c r="N571" s="47" t="s">
        <v>234</v>
      </c>
      <c r="O571" s="47" t="s">
        <v>66</v>
      </c>
      <c r="P571" s="3"/>
      <c r="Q571" s="125">
        <f>Q572</f>
        <v>11793.9</v>
      </c>
      <c r="R571" s="125">
        <f>R572</f>
        <v>11793.9</v>
      </c>
      <c r="T571" s="230"/>
    </row>
    <row r="572" spans="1:20" ht="18.75">
      <c r="A572" s="50"/>
      <c r="B572" s="49"/>
      <c r="C572" s="54"/>
      <c r="D572" s="52"/>
      <c r="E572" s="55"/>
      <c r="F572" s="55"/>
      <c r="G572" s="40"/>
      <c r="H572" s="8" t="s">
        <v>279</v>
      </c>
      <c r="I572" s="7">
        <v>669</v>
      </c>
      <c r="J572" s="12">
        <v>5</v>
      </c>
      <c r="K572" s="12">
        <v>5</v>
      </c>
      <c r="L572" s="46" t="s">
        <v>510</v>
      </c>
      <c r="M572" s="47" t="s">
        <v>222</v>
      </c>
      <c r="N572" s="47" t="s">
        <v>234</v>
      </c>
      <c r="O572" s="47" t="s">
        <v>66</v>
      </c>
      <c r="P572" s="3">
        <v>610</v>
      </c>
      <c r="Q572" s="125">
        <f>11787.8+10-350-307-500+224.3+143.6+830-44.8</f>
        <v>11793.9</v>
      </c>
      <c r="R572" s="125">
        <v>11793.9</v>
      </c>
      <c r="T572" s="230"/>
    </row>
    <row r="573" spans="1:20" ht="18.75">
      <c r="A573" s="50"/>
      <c r="B573" s="49"/>
      <c r="C573" s="54"/>
      <c r="D573" s="52"/>
      <c r="E573" s="55"/>
      <c r="F573" s="55"/>
      <c r="G573" s="40"/>
      <c r="H573" s="8" t="s">
        <v>11</v>
      </c>
      <c r="I573" s="7">
        <v>669</v>
      </c>
      <c r="J573" s="12">
        <v>5</v>
      </c>
      <c r="K573" s="12">
        <v>5</v>
      </c>
      <c r="L573" s="46" t="s">
        <v>510</v>
      </c>
      <c r="M573" s="47" t="s">
        <v>222</v>
      </c>
      <c r="N573" s="47" t="s">
        <v>234</v>
      </c>
      <c r="O573" s="47" t="s">
        <v>73</v>
      </c>
      <c r="P573" s="3"/>
      <c r="Q573" s="125">
        <f>Q574</f>
        <v>683.9000000000001</v>
      </c>
      <c r="R573" s="125">
        <f>R574</f>
        <v>683.9</v>
      </c>
      <c r="T573" s="230"/>
    </row>
    <row r="574" spans="1:20" ht="18.75">
      <c r="A574" s="50"/>
      <c r="B574" s="49"/>
      <c r="C574" s="54"/>
      <c r="D574" s="52"/>
      <c r="E574" s="55"/>
      <c r="F574" s="55"/>
      <c r="G574" s="40"/>
      <c r="H574" s="2" t="s">
        <v>277</v>
      </c>
      <c r="I574" s="7">
        <v>669</v>
      </c>
      <c r="J574" s="12">
        <v>5</v>
      </c>
      <c r="K574" s="12">
        <v>5</v>
      </c>
      <c r="L574" s="46" t="s">
        <v>510</v>
      </c>
      <c r="M574" s="47" t="s">
        <v>222</v>
      </c>
      <c r="N574" s="47" t="s">
        <v>234</v>
      </c>
      <c r="O574" s="47" t="s">
        <v>73</v>
      </c>
      <c r="P574" s="3">
        <v>240</v>
      </c>
      <c r="Q574" s="125">
        <f>450-47+47-7.8+190+51.7</f>
        <v>683.9000000000001</v>
      </c>
      <c r="R574" s="125">
        <v>683.9</v>
      </c>
      <c r="T574" s="230"/>
    </row>
    <row r="575" spans="1:20" s="111" customFormat="1" ht="47.25">
      <c r="A575" s="81"/>
      <c r="B575" s="82"/>
      <c r="C575" s="92"/>
      <c r="D575" s="89"/>
      <c r="E575" s="84"/>
      <c r="F575" s="84"/>
      <c r="G575" s="75"/>
      <c r="H575" s="2" t="s">
        <v>658</v>
      </c>
      <c r="I575" s="7">
        <v>669</v>
      </c>
      <c r="J575" s="12">
        <v>5</v>
      </c>
      <c r="K575" s="12">
        <v>5</v>
      </c>
      <c r="L575" s="46" t="s">
        <v>510</v>
      </c>
      <c r="M575" s="47" t="s">
        <v>222</v>
      </c>
      <c r="N575" s="47" t="s">
        <v>234</v>
      </c>
      <c r="O575" s="47" t="s">
        <v>246</v>
      </c>
      <c r="P575" s="7"/>
      <c r="Q575" s="124">
        <f>Q576</f>
        <v>451</v>
      </c>
      <c r="R575" s="124">
        <f>R576</f>
        <v>339.5</v>
      </c>
      <c r="S575" s="283"/>
      <c r="T575" s="230"/>
    </row>
    <row r="576" spans="1:20" ht="18.75">
      <c r="A576" s="50"/>
      <c r="B576" s="49"/>
      <c r="C576" s="54"/>
      <c r="D576" s="52"/>
      <c r="E576" s="55"/>
      <c r="F576" s="55"/>
      <c r="G576" s="40"/>
      <c r="H576" s="2" t="s">
        <v>277</v>
      </c>
      <c r="I576" s="7">
        <v>669</v>
      </c>
      <c r="J576" s="12">
        <v>5</v>
      </c>
      <c r="K576" s="12">
        <v>5</v>
      </c>
      <c r="L576" s="46" t="s">
        <v>510</v>
      </c>
      <c r="M576" s="47" t="s">
        <v>222</v>
      </c>
      <c r="N576" s="47" t="s">
        <v>234</v>
      </c>
      <c r="O576" s="47" t="s">
        <v>246</v>
      </c>
      <c r="P576" s="7">
        <v>240</v>
      </c>
      <c r="Q576" s="124">
        <f>600+10+155-460+10+47-47+116+20</f>
        <v>451</v>
      </c>
      <c r="R576" s="124">
        <v>339.5</v>
      </c>
      <c r="T576" s="230"/>
    </row>
    <row r="577" spans="1:20" ht="31.5">
      <c r="A577" s="50"/>
      <c r="B577" s="49"/>
      <c r="C577" s="54"/>
      <c r="D577" s="52"/>
      <c r="E577" s="55"/>
      <c r="F577" s="55"/>
      <c r="G577" s="40"/>
      <c r="H577" s="257" t="s">
        <v>550</v>
      </c>
      <c r="I577" s="7">
        <v>669</v>
      </c>
      <c r="J577" s="12">
        <v>5</v>
      </c>
      <c r="K577" s="12">
        <v>5</v>
      </c>
      <c r="L577" s="46" t="s">
        <v>551</v>
      </c>
      <c r="M577" s="47" t="s">
        <v>222</v>
      </c>
      <c r="N577" s="47" t="s">
        <v>231</v>
      </c>
      <c r="O577" s="47" t="s">
        <v>240</v>
      </c>
      <c r="P577" s="3"/>
      <c r="Q577" s="125">
        <f aca="true" t="shared" si="25" ref="Q577:R579">Q578</f>
        <v>1700.9</v>
      </c>
      <c r="R577" s="125">
        <f t="shared" si="25"/>
        <v>1677.2</v>
      </c>
      <c r="T577" s="230"/>
    </row>
    <row r="578" spans="1:20" ht="47.25">
      <c r="A578" s="50"/>
      <c r="B578" s="49"/>
      <c r="C578" s="54"/>
      <c r="D578" s="52"/>
      <c r="E578" s="55"/>
      <c r="F578" s="55"/>
      <c r="G578" s="40"/>
      <c r="H578" s="2" t="s">
        <v>659</v>
      </c>
      <c r="I578" s="7">
        <v>669</v>
      </c>
      <c r="J578" s="12">
        <v>5</v>
      </c>
      <c r="K578" s="12">
        <v>5</v>
      </c>
      <c r="L578" s="46" t="s">
        <v>551</v>
      </c>
      <c r="M578" s="47" t="s">
        <v>222</v>
      </c>
      <c r="N578" s="47" t="s">
        <v>223</v>
      </c>
      <c r="O578" s="47" t="s">
        <v>240</v>
      </c>
      <c r="P578" s="3"/>
      <c r="Q578" s="125">
        <f t="shared" si="25"/>
        <v>1700.9</v>
      </c>
      <c r="R578" s="125">
        <f t="shared" si="25"/>
        <v>1677.2</v>
      </c>
      <c r="T578" s="230"/>
    </row>
    <row r="579" spans="1:20" ht="47.25">
      <c r="A579" s="50"/>
      <c r="B579" s="49"/>
      <c r="C579" s="54"/>
      <c r="D579" s="52"/>
      <c r="E579" s="55"/>
      <c r="F579" s="55"/>
      <c r="G579" s="40"/>
      <c r="H579" s="2" t="s">
        <v>660</v>
      </c>
      <c r="I579" s="7">
        <v>669</v>
      </c>
      <c r="J579" s="12">
        <v>5</v>
      </c>
      <c r="K579" s="12">
        <v>5</v>
      </c>
      <c r="L579" s="46" t="s">
        <v>551</v>
      </c>
      <c r="M579" s="47" t="s">
        <v>222</v>
      </c>
      <c r="N579" s="47" t="s">
        <v>223</v>
      </c>
      <c r="O579" s="47" t="s">
        <v>10</v>
      </c>
      <c r="P579" s="3"/>
      <c r="Q579" s="125">
        <f t="shared" si="25"/>
        <v>1700.9</v>
      </c>
      <c r="R579" s="125">
        <f t="shared" si="25"/>
        <v>1677.2</v>
      </c>
      <c r="T579" s="230"/>
    </row>
    <row r="580" spans="1:20" ht="18.75">
      <c r="A580" s="50"/>
      <c r="B580" s="49"/>
      <c r="C580" s="54"/>
      <c r="D580" s="52"/>
      <c r="E580" s="55"/>
      <c r="F580" s="55"/>
      <c r="G580" s="40"/>
      <c r="H580" s="2" t="s">
        <v>277</v>
      </c>
      <c r="I580" s="7">
        <v>669</v>
      </c>
      <c r="J580" s="12">
        <v>5</v>
      </c>
      <c r="K580" s="12">
        <v>5</v>
      </c>
      <c r="L580" s="46" t="s">
        <v>551</v>
      </c>
      <c r="M580" s="47" t="s">
        <v>222</v>
      </c>
      <c r="N580" s="47" t="s">
        <v>223</v>
      </c>
      <c r="O580" s="47" t="s">
        <v>10</v>
      </c>
      <c r="P580" s="3">
        <v>240</v>
      </c>
      <c r="Q580" s="125">
        <f>1750-49.1</f>
        <v>1700.9</v>
      </c>
      <c r="R580" s="125">
        <v>1677.2</v>
      </c>
      <c r="T580" s="230"/>
    </row>
    <row r="581" spans="1:20" ht="19.5" hidden="1">
      <c r="A581" s="50"/>
      <c r="B581" s="49"/>
      <c r="C581" s="54"/>
      <c r="D581" s="52"/>
      <c r="E581" s="55"/>
      <c r="F581" s="55"/>
      <c r="G581" s="40"/>
      <c r="H581" s="231" t="s">
        <v>504</v>
      </c>
      <c r="I581" s="77">
        <v>669</v>
      </c>
      <c r="J581" s="78">
        <v>10</v>
      </c>
      <c r="K581" s="78"/>
      <c r="L581" s="79"/>
      <c r="M581" s="80"/>
      <c r="N581" s="80"/>
      <c r="O581" s="80"/>
      <c r="P581" s="85"/>
      <c r="Q581" s="348">
        <f aca="true" t="shared" si="26" ref="Q581:R585">Q582</f>
        <v>0</v>
      </c>
      <c r="R581" s="126">
        <f t="shared" si="26"/>
        <v>0</v>
      </c>
      <c r="T581" s="230"/>
    </row>
    <row r="582" spans="1:20" ht="19.5" hidden="1">
      <c r="A582" s="50"/>
      <c r="B582" s="49"/>
      <c r="C582" s="54"/>
      <c r="D582" s="52"/>
      <c r="E582" s="55"/>
      <c r="F582" s="55"/>
      <c r="G582" s="40"/>
      <c r="H582" s="253" t="s">
        <v>82</v>
      </c>
      <c r="I582" s="77">
        <v>669</v>
      </c>
      <c r="J582" s="78">
        <v>10</v>
      </c>
      <c r="K582" s="78">
        <v>1</v>
      </c>
      <c r="L582" s="79"/>
      <c r="M582" s="80"/>
      <c r="N582" s="80"/>
      <c r="O582" s="80"/>
      <c r="P582" s="85"/>
      <c r="Q582" s="348">
        <f t="shared" si="26"/>
        <v>0</v>
      </c>
      <c r="R582" s="126">
        <f t="shared" si="26"/>
        <v>0</v>
      </c>
      <c r="T582" s="230"/>
    </row>
    <row r="583" spans="1:20" ht="31.5" hidden="1">
      <c r="A583" s="50"/>
      <c r="B583" s="49"/>
      <c r="C583" s="54"/>
      <c r="D583" s="52"/>
      <c r="E583" s="55"/>
      <c r="F583" s="55"/>
      <c r="G583" s="40"/>
      <c r="H583" s="8" t="s">
        <v>509</v>
      </c>
      <c r="I583" s="7">
        <v>669</v>
      </c>
      <c r="J583" s="12">
        <v>10</v>
      </c>
      <c r="K583" s="12">
        <v>1</v>
      </c>
      <c r="L583" s="46" t="s">
        <v>510</v>
      </c>
      <c r="M583" s="47" t="s">
        <v>222</v>
      </c>
      <c r="N583" s="47" t="s">
        <v>231</v>
      </c>
      <c r="O583" s="47" t="s">
        <v>240</v>
      </c>
      <c r="P583" s="3"/>
      <c r="Q583" s="346">
        <f t="shared" si="26"/>
        <v>0</v>
      </c>
      <c r="R583" s="125">
        <f t="shared" si="26"/>
        <v>0</v>
      </c>
      <c r="T583" s="230"/>
    </row>
    <row r="584" spans="1:20" ht="31.5" hidden="1">
      <c r="A584" s="50"/>
      <c r="B584" s="49"/>
      <c r="C584" s="54"/>
      <c r="D584" s="52"/>
      <c r="E584" s="55"/>
      <c r="F584" s="55"/>
      <c r="G584" s="40"/>
      <c r="H584" s="8" t="s">
        <v>630</v>
      </c>
      <c r="I584" s="7">
        <v>669</v>
      </c>
      <c r="J584" s="12">
        <v>10</v>
      </c>
      <c r="K584" s="12">
        <v>1</v>
      </c>
      <c r="L584" s="46" t="s">
        <v>510</v>
      </c>
      <c r="M584" s="47" t="s">
        <v>222</v>
      </c>
      <c r="N584" s="47" t="s">
        <v>234</v>
      </c>
      <c r="O584" s="47" t="s">
        <v>240</v>
      </c>
      <c r="P584" s="3"/>
      <c r="Q584" s="346">
        <f t="shared" si="26"/>
        <v>0</v>
      </c>
      <c r="R584" s="125">
        <f t="shared" si="26"/>
        <v>0</v>
      </c>
      <c r="T584" s="230"/>
    </row>
    <row r="585" spans="1:20" ht="18.75" hidden="1">
      <c r="A585" s="50"/>
      <c r="B585" s="49"/>
      <c r="C585" s="54"/>
      <c r="D585" s="52"/>
      <c r="E585" s="55"/>
      <c r="F585" s="55"/>
      <c r="G585" s="40"/>
      <c r="H585" s="8" t="s">
        <v>612</v>
      </c>
      <c r="I585" s="7">
        <v>669</v>
      </c>
      <c r="J585" s="12">
        <v>10</v>
      </c>
      <c r="K585" s="12">
        <v>1</v>
      </c>
      <c r="L585" s="46" t="s">
        <v>510</v>
      </c>
      <c r="M585" s="47" t="s">
        <v>222</v>
      </c>
      <c r="N585" s="47" t="s">
        <v>234</v>
      </c>
      <c r="O585" s="47" t="s">
        <v>41</v>
      </c>
      <c r="P585" s="3"/>
      <c r="Q585" s="346">
        <f t="shared" si="26"/>
        <v>0</v>
      </c>
      <c r="R585" s="125">
        <f t="shared" si="26"/>
        <v>0</v>
      </c>
      <c r="T585" s="230"/>
    </row>
    <row r="586" spans="1:20" ht="18.75" hidden="1">
      <c r="A586" s="50"/>
      <c r="B586" s="49"/>
      <c r="C586" s="54"/>
      <c r="D586" s="52"/>
      <c r="E586" s="55"/>
      <c r="F586" s="55"/>
      <c r="G586" s="40"/>
      <c r="H586" s="13" t="s">
        <v>281</v>
      </c>
      <c r="I586" s="7">
        <v>669</v>
      </c>
      <c r="J586" s="12">
        <v>10</v>
      </c>
      <c r="K586" s="12">
        <v>1</v>
      </c>
      <c r="L586" s="46" t="s">
        <v>510</v>
      </c>
      <c r="M586" s="47" t="s">
        <v>222</v>
      </c>
      <c r="N586" s="47" t="s">
        <v>234</v>
      </c>
      <c r="O586" s="47" t="s">
        <v>41</v>
      </c>
      <c r="P586" s="3">
        <v>310</v>
      </c>
      <c r="Q586" s="346">
        <v>0</v>
      </c>
      <c r="R586" s="125"/>
      <c r="T586" s="230"/>
    </row>
    <row r="587" spans="1:20" ht="16.5">
      <c r="A587" s="50"/>
      <c r="B587" s="49"/>
      <c r="C587" s="54"/>
      <c r="D587" s="52"/>
      <c r="E587" s="55"/>
      <c r="F587" s="55"/>
      <c r="G587" s="40"/>
      <c r="H587" s="22" t="s">
        <v>661</v>
      </c>
      <c r="I587" s="10">
        <v>670</v>
      </c>
      <c r="J587" s="11"/>
      <c r="K587" s="11"/>
      <c r="L587" s="72"/>
      <c r="M587" s="73"/>
      <c r="N587" s="73"/>
      <c r="O587" s="73"/>
      <c r="P587" s="18"/>
      <c r="Q587" s="237">
        <f>Q588</f>
        <v>26287.6</v>
      </c>
      <c r="R587" s="237">
        <f>R588</f>
        <v>26232.4</v>
      </c>
      <c r="T587" s="230"/>
    </row>
    <row r="588" spans="1:20" ht="19.5">
      <c r="A588" s="50"/>
      <c r="B588" s="49"/>
      <c r="C588" s="54"/>
      <c r="D588" s="52"/>
      <c r="E588" s="55"/>
      <c r="F588" s="55"/>
      <c r="G588" s="40"/>
      <c r="H588" s="231" t="s">
        <v>502</v>
      </c>
      <c r="I588" s="77">
        <v>670</v>
      </c>
      <c r="J588" s="78">
        <v>1</v>
      </c>
      <c r="K588" s="78"/>
      <c r="L588" s="79"/>
      <c r="M588" s="80"/>
      <c r="N588" s="80"/>
      <c r="O588" s="80"/>
      <c r="P588" s="85"/>
      <c r="Q588" s="126">
        <f>Q589+Q609</f>
        <v>26287.6</v>
      </c>
      <c r="R588" s="126">
        <f>R589+R609</f>
        <v>26232.4</v>
      </c>
      <c r="T588" s="230"/>
    </row>
    <row r="589" spans="1:20" ht="31.5">
      <c r="A589" s="50"/>
      <c r="B589" s="49"/>
      <c r="C589" s="54"/>
      <c r="D589" s="52"/>
      <c r="E589" s="55"/>
      <c r="F589" s="55"/>
      <c r="G589" s="40"/>
      <c r="H589" s="169" t="s">
        <v>77</v>
      </c>
      <c r="I589" s="77">
        <v>670</v>
      </c>
      <c r="J589" s="78">
        <v>1</v>
      </c>
      <c r="K589" s="78">
        <v>6</v>
      </c>
      <c r="L589" s="79"/>
      <c r="M589" s="80"/>
      <c r="N589" s="80"/>
      <c r="O589" s="80"/>
      <c r="P589" s="85"/>
      <c r="Q589" s="126">
        <f>Q590</f>
        <v>8635</v>
      </c>
      <c r="R589" s="126">
        <f>R590</f>
        <v>8596.1</v>
      </c>
      <c r="T589" s="230"/>
    </row>
    <row r="590" spans="1:20" ht="31.5">
      <c r="A590" s="50"/>
      <c r="B590" s="49"/>
      <c r="C590" s="54"/>
      <c r="D590" s="52"/>
      <c r="E590" s="55"/>
      <c r="F590" s="55"/>
      <c r="G590" s="40"/>
      <c r="H590" s="8" t="s">
        <v>662</v>
      </c>
      <c r="I590" s="7">
        <v>670</v>
      </c>
      <c r="J590" s="12">
        <v>1</v>
      </c>
      <c r="K590" s="12">
        <v>6</v>
      </c>
      <c r="L590" s="46" t="s">
        <v>227</v>
      </c>
      <c r="M590" s="47" t="s">
        <v>222</v>
      </c>
      <c r="N590" s="47" t="s">
        <v>231</v>
      </c>
      <c r="O590" s="47" t="s">
        <v>240</v>
      </c>
      <c r="P590" s="3"/>
      <c r="Q590" s="125">
        <f>Q591+Q595+Q605</f>
        <v>8635</v>
      </c>
      <c r="R590" s="125">
        <f>R591+R595+R605</f>
        <v>8596.1</v>
      </c>
      <c r="T590" s="230"/>
    </row>
    <row r="591" spans="1:20" ht="31.5" hidden="1">
      <c r="A591" s="50"/>
      <c r="B591" s="49"/>
      <c r="C591" s="54"/>
      <c r="D591" s="52"/>
      <c r="E591" s="55"/>
      <c r="F591" s="55"/>
      <c r="G591" s="40"/>
      <c r="H591" s="8" t="s">
        <v>663</v>
      </c>
      <c r="I591" s="7">
        <v>670</v>
      </c>
      <c r="J591" s="12">
        <v>1</v>
      </c>
      <c r="K591" s="12">
        <v>6</v>
      </c>
      <c r="L591" s="46" t="s">
        <v>227</v>
      </c>
      <c r="M591" s="47" t="s">
        <v>224</v>
      </c>
      <c r="N591" s="47" t="s">
        <v>231</v>
      </c>
      <c r="O591" s="47" t="s">
        <v>240</v>
      </c>
      <c r="P591" s="3"/>
      <c r="Q591" s="346">
        <f aca="true" t="shared" si="27" ref="Q591:R593">Q592</f>
        <v>0</v>
      </c>
      <c r="R591" s="125">
        <f t="shared" si="27"/>
        <v>0</v>
      </c>
      <c r="T591" s="230"/>
    </row>
    <row r="592" spans="1:20" ht="31.5" hidden="1">
      <c r="A592" s="50"/>
      <c r="B592" s="49"/>
      <c r="C592" s="54"/>
      <c r="D592" s="52"/>
      <c r="E592" s="55"/>
      <c r="F592" s="55"/>
      <c r="G592" s="40"/>
      <c r="H592" s="8" t="s">
        <v>664</v>
      </c>
      <c r="I592" s="7">
        <v>670</v>
      </c>
      <c r="J592" s="12">
        <v>1</v>
      </c>
      <c r="K592" s="12">
        <v>6</v>
      </c>
      <c r="L592" s="46" t="s">
        <v>227</v>
      </c>
      <c r="M592" s="47" t="s">
        <v>224</v>
      </c>
      <c r="N592" s="47" t="s">
        <v>235</v>
      </c>
      <c r="O592" s="47" t="s">
        <v>240</v>
      </c>
      <c r="P592" s="3"/>
      <c r="Q592" s="346">
        <f t="shared" si="27"/>
        <v>0</v>
      </c>
      <c r="R592" s="125">
        <f t="shared" si="27"/>
        <v>0</v>
      </c>
      <c r="T592" s="230"/>
    </row>
    <row r="593" spans="1:20" ht="18.75" hidden="1">
      <c r="A593" s="50"/>
      <c r="B593" s="49"/>
      <c r="C593" s="54"/>
      <c r="D593" s="52"/>
      <c r="E593" s="55"/>
      <c r="F593" s="55"/>
      <c r="G593" s="40"/>
      <c r="H593" s="8" t="s">
        <v>64</v>
      </c>
      <c r="I593" s="7">
        <v>670</v>
      </c>
      <c r="J593" s="12">
        <v>1</v>
      </c>
      <c r="K593" s="12">
        <v>6</v>
      </c>
      <c r="L593" s="46" t="s">
        <v>227</v>
      </c>
      <c r="M593" s="47" t="s">
        <v>224</v>
      </c>
      <c r="N593" s="47" t="s">
        <v>235</v>
      </c>
      <c r="O593" s="47" t="s">
        <v>243</v>
      </c>
      <c r="P593" s="3"/>
      <c r="Q593" s="346">
        <f t="shared" si="27"/>
        <v>0</v>
      </c>
      <c r="R593" s="125">
        <f t="shared" si="27"/>
        <v>0</v>
      </c>
      <c r="T593" s="230"/>
    </row>
    <row r="594" spans="1:20" ht="18.75" hidden="1">
      <c r="A594" s="50"/>
      <c r="B594" s="49"/>
      <c r="C594" s="54"/>
      <c r="D594" s="52"/>
      <c r="E594" s="55"/>
      <c r="F594" s="55"/>
      <c r="G594" s="40"/>
      <c r="H594" s="2" t="s">
        <v>277</v>
      </c>
      <c r="I594" s="7">
        <v>670</v>
      </c>
      <c r="J594" s="12">
        <v>1</v>
      </c>
      <c r="K594" s="12">
        <v>6</v>
      </c>
      <c r="L594" s="46" t="s">
        <v>227</v>
      </c>
      <c r="M594" s="47" t="s">
        <v>224</v>
      </c>
      <c r="N594" s="47" t="s">
        <v>235</v>
      </c>
      <c r="O594" s="47" t="s">
        <v>243</v>
      </c>
      <c r="P594" s="3">
        <v>240</v>
      </c>
      <c r="Q594" s="346">
        <f>20-20</f>
        <v>0</v>
      </c>
      <c r="R594" s="125"/>
      <c r="T594" s="230"/>
    </row>
    <row r="595" spans="1:20" ht="31.5">
      <c r="A595" s="50"/>
      <c r="B595" s="49"/>
      <c r="C595" s="54"/>
      <c r="D595" s="52"/>
      <c r="E595" s="55"/>
      <c r="F595" s="55"/>
      <c r="G595" s="40"/>
      <c r="H595" s="8" t="s">
        <v>665</v>
      </c>
      <c r="I595" s="7">
        <v>670</v>
      </c>
      <c r="J595" s="12">
        <v>1</v>
      </c>
      <c r="K595" s="12">
        <v>6</v>
      </c>
      <c r="L595" s="46" t="s">
        <v>227</v>
      </c>
      <c r="M595" s="47" t="s">
        <v>347</v>
      </c>
      <c r="N595" s="47" t="s">
        <v>231</v>
      </c>
      <c r="O595" s="47" t="s">
        <v>627</v>
      </c>
      <c r="P595" s="3"/>
      <c r="Q595" s="125">
        <f>Q596</f>
        <v>8614.8</v>
      </c>
      <c r="R595" s="125">
        <f>R596</f>
        <v>8575.9</v>
      </c>
      <c r="T595" s="230"/>
    </row>
    <row r="596" spans="1:20" ht="63">
      <c r="A596" s="50"/>
      <c r="B596" s="49"/>
      <c r="C596" s="54"/>
      <c r="D596" s="52"/>
      <c r="E596" s="55"/>
      <c r="F596" s="55"/>
      <c r="G596" s="40"/>
      <c r="H596" s="8" t="s">
        <v>666</v>
      </c>
      <c r="I596" s="7">
        <v>670</v>
      </c>
      <c r="J596" s="12">
        <v>1</v>
      </c>
      <c r="K596" s="12">
        <v>6</v>
      </c>
      <c r="L596" s="46" t="s">
        <v>227</v>
      </c>
      <c r="M596" s="47" t="s">
        <v>347</v>
      </c>
      <c r="N596" s="47" t="s">
        <v>223</v>
      </c>
      <c r="O596" s="47" t="s">
        <v>240</v>
      </c>
      <c r="P596" s="3"/>
      <c r="Q596" s="125">
        <f>Q597+Q603+Q601</f>
        <v>8614.8</v>
      </c>
      <c r="R596" s="125">
        <f>R597+R603+R601</f>
        <v>8575.9</v>
      </c>
      <c r="T596" s="230"/>
    </row>
    <row r="597" spans="1:20" ht="18.75">
      <c r="A597" s="50"/>
      <c r="B597" s="49"/>
      <c r="C597" s="54"/>
      <c r="D597" s="52"/>
      <c r="E597" s="55"/>
      <c r="F597" s="55"/>
      <c r="G597" s="40"/>
      <c r="H597" s="8" t="s">
        <v>64</v>
      </c>
      <c r="I597" s="7">
        <v>670</v>
      </c>
      <c r="J597" s="12">
        <v>1</v>
      </c>
      <c r="K597" s="12">
        <v>6</v>
      </c>
      <c r="L597" s="46" t="s">
        <v>227</v>
      </c>
      <c r="M597" s="47" t="s">
        <v>347</v>
      </c>
      <c r="N597" s="47" t="s">
        <v>223</v>
      </c>
      <c r="O597" s="47" t="s">
        <v>243</v>
      </c>
      <c r="P597" s="3"/>
      <c r="Q597" s="125">
        <f>Q598+Q599+Q600</f>
        <v>7202.4</v>
      </c>
      <c r="R597" s="125">
        <f>R598+R599+R600</f>
        <v>7163.5</v>
      </c>
      <c r="T597" s="230"/>
    </row>
    <row r="598" spans="1:20" ht="18.75">
      <c r="A598" s="50"/>
      <c r="B598" s="49"/>
      <c r="C598" s="54"/>
      <c r="D598" s="52"/>
      <c r="E598" s="55"/>
      <c r="F598" s="55"/>
      <c r="G598" s="40"/>
      <c r="H598" s="8" t="s">
        <v>210</v>
      </c>
      <c r="I598" s="7">
        <v>670</v>
      </c>
      <c r="J598" s="12">
        <v>1</v>
      </c>
      <c r="K598" s="12">
        <v>6</v>
      </c>
      <c r="L598" s="46" t="s">
        <v>227</v>
      </c>
      <c r="M598" s="47" t="s">
        <v>347</v>
      </c>
      <c r="N598" s="47" t="s">
        <v>223</v>
      </c>
      <c r="O598" s="47" t="s">
        <v>243</v>
      </c>
      <c r="P598" s="3">
        <v>120</v>
      </c>
      <c r="Q598" s="125">
        <f>7053.9+62.6+55.6-27.1+282+85.1-10-519.8-190-30.2+0.2-282-85.1</f>
        <v>6395.2</v>
      </c>
      <c r="R598" s="125">
        <v>6373.2</v>
      </c>
      <c r="T598" s="230"/>
    </row>
    <row r="599" spans="1:20" ht="18.75">
      <c r="A599" s="50"/>
      <c r="B599" s="49"/>
      <c r="C599" s="54"/>
      <c r="D599" s="52"/>
      <c r="E599" s="55"/>
      <c r="F599" s="55"/>
      <c r="G599" s="40"/>
      <c r="H599" s="2" t="s">
        <v>277</v>
      </c>
      <c r="I599" s="7">
        <v>670</v>
      </c>
      <c r="J599" s="12">
        <v>1</v>
      </c>
      <c r="K599" s="12">
        <v>6</v>
      </c>
      <c r="L599" s="46" t="s">
        <v>227</v>
      </c>
      <c r="M599" s="47" t="s">
        <v>347</v>
      </c>
      <c r="N599" s="47" t="s">
        <v>223</v>
      </c>
      <c r="O599" s="47" t="s">
        <v>243</v>
      </c>
      <c r="P599" s="3">
        <v>240</v>
      </c>
      <c r="Q599" s="125">
        <f>1117.3-12-0.2-196-94-0.2-47.8</f>
        <v>767.0999999999999</v>
      </c>
      <c r="R599" s="125">
        <v>750.3</v>
      </c>
      <c r="T599" s="230"/>
    </row>
    <row r="600" spans="1:20" ht="18.75">
      <c r="A600" s="50"/>
      <c r="B600" s="49"/>
      <c r="C600" s="54"/>
      <c r="D600" s="52"/>
      <c r="E600" s="55"/>
      <c r="F600" s="55"/>
      <c r="G600" s="40"/>
      <c r="H600" s="8" t="s">
        <v>278</v>
      </c>
      <c r="I600" s="7">
        <v>670</v>
      </c>
      <c r="J600" s="12">
        <v>1</v>
      </c>
      <c r="K600" s="12">
        <v>6</v>
      </c>
      <c r="L600" s="46" t="s">
        <v>227</v>
      </c>
      <c r="M600" s="47" t="s">
        <v>347</v>
      </c>
      <c r="N600" s="47" t="s">
        <v>223</v>
      </c>
      <c r="O600" s="47" t="s">
        <v>243</v>
      </c>
      <c r="P600" s="3">
        <v>850</v>
      </c>
      <c r="Q600" s="125">
        <f>13+27.1</f>
        <v>40.1</v>
      </c>
      <c r="R600" s="125">
        <v>40</v>
      </c>
      <c r="T600" s="230"/>
    </row>
    <row r="601" spans="1:20" ht="31.5">
      <c r="A601" s="50"/>
      <c r="B601" s="49"/>
      <c r="C601" s="54"/>
      <c r="D601" s="52"/>
      <c r="E601" s="55"/>
      <c r="F601" s="55"/>
      <c r="G601" s="40"/>
      <c r="H601" s="8" t="s">
        <v>458</v>
      </c>
      <c r="I601" s="7">
        <v>670</v>
      </c>
      <c r="J601" s="12">
        <v>1</v>
      </c>
      <c r="K601" s="12">
        <v>6</v>
      </c>
      <c r="L601" s="46" t="s">
        <v>227</v>
      </c>
      <c r="M601" s="47" t="s">
        <v>347</v>
      </c>
      <c r="N601" s="47" t="s">
        <v>223</v>
      </c>
      <c r="O601" s="47" t="s">
        <v>457</v>
      </c>
      <c r="P601" s="3"/>
      <c r="Q601" s="125">
        <f>Q602</f>
        <v>367.1</v>
      </c>
      <c r="R601" s="125">
        <f>R602</f>
        <v>367.1</v>
      </c>
      <c r="T601" s="230"/>
    </row>
    <row r="602" spans="1:20" ht="18.75">
      <c r="A602" s="50"/>
      <c r="B602" s="49"/>
      <c r="C602" s="54"/>
      <c r="D602" s="52"/>
      <c r="E602" s="55"/>
      <c r="F602" s="55"/>
      <c r="G602" s="40"/>
      <c r="H602" s="8" t="s">
        <v>210</v>
      </c>
      <c r="I602" s="7">
        <v>670</v>
      </c>
      <c r="J602" s="12">
        <v>1</v>
      </c>
      <c r="K602" s="12">
        <v>6</v>
      </c>
      <c r="L602" s="46" t="s">
        <v>227</v>
      </c>
      <c r="M602" s="47" t="s">
        <v>347</v>
      </c>
      <c r="N602" s="47" t="s">
        <v>223</v>
      </c>
      <c r="O602" s="47" t="s">
        <v>457</v>
      </c>
      <c r="P602" s="3">
        <v>120</v>
      </c>
      <c r="Q602" s="125">
        <f>282+85.1</f>
        <v>367.1</v>
      </c>
      <c r="R602" s="125">
        <v>367.1</v>
      </c>
      <c r="T602" s="230"/>
    </row>
    <row r="603" spans="1:20" ht="31.5">
      <c r="A603" s="50"/>
      <c r="B603" s="49"/>
      <c r="C603" s="54"/>
      <c r="D603" s="52"/>
      <c r="E603" s="55"/>
      <c r="F603" s="55"/>
      <c r="G603" s="40"/>
      <c r="H603" s="8" t="s">
        <v>353</v>
      </c>
      <c r="I603" s="3">
        <v>670</v>
      </c>
      <c r="J603" s="14">
        <v>1</v>
      </c>
      <c r="K603" s="12">
        <v>6</v>
      </c>
      <c r="L603" s="46" t="s">
        <v>227</v>
      </c>
      <c r="M603" s="47" t="s">
        <v>347</v>
      </c>
      <c r="N603" s="47" t="s">
        <v>223</v>
      </c>
      <c r="O603" s="47" t="s">
        <v>352</v>
      </c>
      <c r="P603" s="3"/>
      <c r="Q603" s="125">
        <f>Q604</f>
        <v>1045.3</v>
      </c>
      <c r="R603" s="125">
        <f>R604</f>
        <v>1045.3</v>
      </c>
      <c r="T603" s="230"/>
    </row>
    <row r="604" spans="1:20" ht="18.75">
      <c r="A604" s="50"/>
      <c r="B604" s="49"/>
      <c r="C604" s="54"/>
      <c r="D604" s="52"/>
      <c r="E604" s="55"/>
      <c r="F604" s="55"/>
      <c r="G604" s="40"/>
      <c r="H604" s="8" t="s">
        <v>210</v>
      </c>
      <c r="I604" s="3">
        <v>670</v>
      </c>
      <c r="J604" s="15">
        <v>1</v>
      </c>
      <c r="K604" s="12">
        <v>6</v>
      </c>
      <c r="L604" s="46" t="s">
        <v>227</v>
      </c>
      <c r="M604" s="47" t="s">
        <v>347</v>
      </c>
      <c r="N604" s="47" t="s">
        <v>223</v>
      </c>
      <c r="O604" s="47" t="s">
        <v>352</v>
      </c>
      <c r="P604" s="3">
        <v>120</v>
      </c>
      <c r="Q604" s="124">
        <v>1045.3</v>
      </c>
      <c r="R604" s="124">
        <v>1045.3</v>
      </c>
      <c r="T604" s="230"/>
    </row>
    <row r="605" spans="1:20" ht="18.75">
      <c r="A605" s="50"/>
      <c r="B605" s="49"/>
      <c r="C605" s="54"/>
      <c r="D605" s="52"/>
      <c r="E605" s="55"/>
      <c r="F605" s="55"/>
      <c r="G605" s="40"/>
      <c r="H605" s="59" t="s">
        <v>667</v>
      </c>
      <c r="I605" s="3">
        <v>670</v>
      </c>
      <c r="J605" s="15">
        <v>1</v>
      </c>
      <c r="K605" s="12">
        <v>6</v>
      </c>
      <c r="L605" s="46" t="s">
        <v>227</v>
      </c>
      <c r="M605" s="47" t="s">
        <v>221</v>
      </c>
      <c r="N605" s="47" t="s">
        <v>231</v>
      </c>
      <c r="O605" s="47" t="s">
        <v>240</v>
      </c>
      <c r="P605" s="3"/>
      <c r="Q605" s="125">
        <f aca="true" t="shared" si="28" ref="Q605:R607">Q606</f>
        <v>20.2</v>
      </c>
      <c r="R605" s="125">
        <f t="shared" si="28"/>
        <v>20.2</v>
      </c>
      <c r="T605" s="230"/>
    </row>
    <row r="606" spans="1:20" ht="31.5">
      <c r="A606" s="50"/>
      <c r="B606" s="49"/>
      <c r="C606" s="54"/>
      <c r="D606" s="52"/>
      <c r="E606" s="55"/>
      <c r="F606" s="55"/>
      <c r="G606" s="40"/>
      <c r="H606" s="8" t="s">
        <v>668</v>
      </c>
      <c r="I606" s="3">
        <v>670</v>
      </c>
      <c r="J606" s="4">
        <v>1</v>
      </c>
      <c r="K606" s="12">
        <v>6</v>
      </c>
      <c r="L606" s="46" t="s">
        <v>227</v>
      </c>
      <c r="M606" s="47" t="s">
        <v>221</v>
      </c>
      <c r="N606" s="47" t="s">
        <v>223</v>
      </c>
      <c r="O606" s="47" t="s">
        <v>240</v>
      </c>
      <c r="P606" s="3"/>
      <c r="Q606" s="125">
        <f t="shared" si="28"/>
        <v>20.2</v>
      </c>
      <c r="R606" s="125">
        <f t="shared" si="28"/>
        <v>20.2</v>
      </c>
      <c r="T606" s="230"/>
    </row>
    <row r="607" spans="1:20" ht="18.75">
      <c r="A607" s="50"/>
      <c r="B607" s="49"/>
      <c r="C607" s="54"/>
      <c r="D607" s="52"/>
      <c r="E607" s="55"/>
      <c r="F607" s="55"/>
      <c r="G607" s="40"/>
      <c r="H607" s="8" t="s">
        <v>446</v>
      </c>
      <c r="I607" s="3">
        <v>670</v>
      </c>
      <c r="J607" s="4">
        <v>1</v>
      </c>
      <c r="K607" s="12">
        <v>6</v>
      </c>
      <c r="L607" s="46" t="s">
        <v>227</v>
      </c>
      <c r="M607" s="47" t="s">
        <v>221</v>
      </c>
      <c r="N607" s="47" t="s">
        <v>223</v>
      </c>
      <c r="O607" s="47" t="s">
        <v>444</v>
      </c>
      <c r="P607" s="3"/>
      <c r="Q607" s="125">
        <f t="shared" si="28"/>
        <v>20.2</v>
      </c>
      <c r="R607" s="125">
        <f t="shared" si="28"/>
        <v>20.2</v>
      </c>
      <c r="T607" s="230"/>
    </row>
    <row r="608" spans="1:20" ht="18.75">
      <c r="A608" s="50"/>
      <c r="B608" s="49"/>
      <c r="C608" s="54"/>
      <c r="D608" s="52"/>
      <c r="E608" s="55"/>
      <c r="F608" s="55"/>
      <c r="G608" s="40"/>
      <c r="H608" s="2" t="s">
        <v>277</v>
      </c>
      <c r="I608" s="7">
        <v>670</v>
      </c>
      <c r="J608" s="12">
        <v>1</v>
      </c>
      <c r="K608" s="12">
        <v>6</v>
      </c>
      <c r="L608" s="46" t="s">
        <v>227</v>
      </c>
      <c r="M608" s="47" t="s">
        <v>221</v>
      </c>
      <c r="N608" s="47" t="s">
        <v>223</v>
      </c>
      <c r="O608" s="47" t="s">
        <v>444</v>
      </c>
      <c r="P608" s="3">
        <v>240</v>
      </c>
      <c r="Q608" s="125">
        <f>20+0.2</f>
        <v>20.2</v>
      </c>
      <c r="R608" s="125">
        <v>20.2</v>
      </c>
      <c r="T608" s="230"/>
    </row>
    <row r="609" spans="1:20" ht="19.5">
      <c r="A609" s="50"/>
      <c r="B609" s="49"/>
      <c r="C609" s="54"/>
      <c r="D609" s="52"/>
      <c r="E609" s="55"/>
      <c r="F609" s="55"/>
      <c r="G609" s="40"/>
      <c r="H609" s="231" t="s">
        <v>212</v>
      </c>
      <c r="I609" s="77">
        <v>670</v>
      </c>
      <c r="J609" s="78">
        <v>1</v>
      </c>
      <c r="K609" s="78">
        <v>13</v>
      </c>
      <c r="L609" s="79"/>
      <c r="M609" s="80"/>
      <c r="N609" s="80"/>
      <c r="O609" s="80"/>
      <c r="P609" s="85"/>
      <c r="Q609" s="126">
        <f aca="true" t="shared" si="29" ref="Q609:R611">Q610</f>
        <v>17652.6</v>
      </c>
      <c r="R609" s="126">
        <f t="shared" si="29"/>
        <v>17636.3</v>
      </c>
      <c r="T609" s="230"/>
    </row>
    <row r="610" spans="1:20" ht="31.5">
      <c r="A610" s="50"/>
      <c r="B610" s="49"/>
      <c r="C610" s="54"/>
      <c r="D610" s="52"/>
      <c r="E610" s="55"/>
      <c r="F610" s="55"/>
      <c r="G610" s="40"/>
      <c r="H610" s="8" t="s">
        <v>662</v>
      </c>
      <c r="I610" s="3">
        <v>670</v>
      </c>
      <c r="J610" s="4">
        <v>1</v>
      </c>
      <c r="K610" s="12">
        <v>13</v>
      </c>
      <c r="L610" s="46" t="s">
        <v>227</v>
      </c>
      <c r="M610" s="47" t="s">
        <v>222</v>
      </c>
      <c r="N610" s="47" t="s">
        <v>231</v>
      </c>
      <c r="O610" s="47" t="s">
        <v>240</v>
      </c>
      <c r="P610" s="3"/>
      <c r="Q610" s="125">
        <f t="shared" si="29"/>
        <v>17652.6</v>
      </c>
      <c r="R610" s="125">
        <f t="shared" si="29"/>
        <v>17636.3</v>
      </c>
      <c r="T610" s="230"/>
    </row>
    <row r="611" spans="1:20" ht="31.5">
      <c r="A611" s="50"/>
      <c r="B611" s="49"/>
      <c r="C611" s="54"/>
      <c r="D611" s="52"/>
      <c r="E611" s="55"/>
      <c r="F611" s="55"/>
      <c r="G611" s="40"/>
      <c r="H611" s="8" t="s">
        <v>665</v>
      </c>
      <c r="I611" s="7">
        <v>670</v>
      </c>
      <c r="J611" s="12">
        <v>1</v>
      </c>
      <c r="K611" s="12">
        <v>13</v>
      </c>
      <c r="L611" s="46" t="s">
        <v>227</v>
      </c>
      <c r="M611" s="47" t="s">
        <v>347</v>
      </c>
      <c r="N611" s="47" t="s">
        <v>231</v>
      </c>
      <c r="O611" s="47" t="s">
        <v>240</v>
      </c>
      <c r="P611" s="3"/>
      <c r="Q611" s="125">
        <f t="shared" si="29"/>
        <v>17652.6</v>
      </c>
      <c r="R611" s="125">
        <f t="shared" si="29"/>
        <v>17636.3</v>
      </c>
      <c r="T611" s="230"/>
    </row>
    <row r="612" spans="1:20" ht="31.5">
      <c r="A612" s="50"/>
      <c r="B612" s="49"/>
      <c r="C612" s="54"/>
      <c r="D612" s="52"/>
      <c r="E612" s="55"/>
      <c r="F612" s="55"/>
      <c r="G612" s="40"/>
      <c r="H612" s="8" t="s">
        <v>274</v>
      </c>
      <c r="I612" s="7">
        <v>670</v>
      </c>
      <c r="J612" s="12">
        <v>1</v>
      </c>
      <c r="K612" s="12">
        <v>13</v>
      </c>
      <c r="L612" s="46" t="s">
        <v>227</v>
      </c>
      <c r="M612" s="47" t="s">
        <v>347</v>
      </c>
      <c r="N612" s="47" t="s">
        <v>234</v>
      </c>
      <c r="O612" s="47" t="s">
        <v>240</v>
      </c>
      <c r="P612" s="3"/>
      <c r="Q612" s="125">
        <f>Q613+Q618</f>
        <v>17652.6</v>
      </c>
      <c r="R612" s="125">
        <f>R613+R618</f>
        <v>17636.3</v>
      </c>
      <c r="T612" s="230"/>
    </row>
    <row r="613" spans="1:20" ht="18.75">
      <c r="A613" s="50"/>
      <c r="B613" s="49"/>
      <c r="C613" s="54"/>
      <c r="D613" s="52"/>
      <c r="E613" s="55"/>
      <c r="F613" s="55"/>
      <c r="G613" s="40"/>
      <c r="H613" s="8" t="s">
        <v>65</v>
      </c>
      <c r="I613" s="7">
        <v>670</v>
      </c>
      <c r="J613" s="12">
        <v>1</v>
      </c>
      <c r="K613" s="12">
        <v>13</v>
      </c>
      <c r="L613" s="46" t="s">
        <v>227</v>
      </c>
      <c r="M613" s="47" t="s">
        <v>347</v>
      </c>
      <c r="N613" s="47" t="s">
        <v>234</v>
      </c>
      <c r="O613" s="47" t="s">
        <v>66</v>
      </c>
      <c r="P613" s="3"/>
      <c r="Q613" s="125">
        <f>Q614+Q615+Q616+Q617</f>
        <v>14101.4</v>
      </c>
      <c r="R613" s="125">
        <f>R614+R615+R616+R617</f>
        <v>14085.1</v>
      </c>
      <c r="T613" s="230"/>
    </row>
    <row r="614" spans="1:20" ht="18.75">
      <c r="A614" s="50"/>
      <c r="B614" s="49"/>
      <c r="C614" s="54"/>
      <c r="D614" s="52"/>
      <c r="E614" s="55"/>
      <c r="F614" s="55"/>
      <c r="G614" s="40"/>
      <c r="H614" s="8" t="s">
        <v>280</v>
      </c>
      <c r="I614" s="7">
        <v>670</v>
      </c>
      <c r="J614" s="12">
        <v>1</v>
      </c>
      <c r="K614" s="12">
        <v>13</v>
      </c>
      <c r="L614" s="46" t="s">
        <v>227</v>
      </c>
      <c r="M614" s="47" t="s">
        <v>347</v>
      </c>
      <c r="N614" s="47" t="s">
        <v>234</v>
      </c>
      <c r="O614" s="47" t="s">
        <v>66</v>
      </c>
      <c r="P614" s="3">
        <v>110</v>
      </c>
      <c r="Q614" s="125">
        <f>13293.8+4.6-6.6-60+0.6+9.7-9.7</f>
        <v>13232.4</v>
      </c>
      <c r="R614" s="125">
        <v>13232.4</v>
      </c>
      <c r="T614" s="230"/>
    </row>
    <row r="615" spans="1:20" ht="18.75">
      <c r="A615" s="50"/>
      <c r="B615" s="49"/>
      <c r="C615" s="54"/>
      <c r="D615" s="52"/>
      <c r="E615" s="55"/>
      <c r="F615" s="55"/>
      <c r="G615" s="40"/>
      <c r="H615" s="2" t="s">
        <v>277</v>
      </c>
      <c r="I615" s="7">
        <v>670</v>
      </c>
      <c r="J615" s="12">
        <v>1</v>
      </c>
      <c r="K615" s="12">
        <v>13</v>
      </c>
      <c r="L615" s="46" t="s">
        <v>227</v>
      </c>
      <c r="M615" s="47" t="s">
        <v>347</v>
      </c>
      <c r="N615" s="47" t="s">
        <v>234</v>
      </c>
      <c r="O615" s="47" t="s">
        <v>66</v>
      </c>
      <c r="P615" s="3">
        <v>240</v>
      </c>
      <c r="Q615" s="125">
        <f>1145-280</f>
        <v>865</v>
      </c>
      <c r="R615" s="125">
        <v>848.7</v>
      </c>
      <c r="T615" s="230"/>
    </row>
    <row r="616" spans="1:20" ht="18.75">
      <c r="A616" s="50"/>
      <c r="B616" s="49"/>
      <c r="C616" s="54"/>
      <c r="D616" s="52"/>
      <c r="E616" s="55"/>
      <c r="F616" s="55"/>
      <c r="G616" s="40"/>
      <c r="H616" s="8" t="s">
        <v>282</v>
      </c>
      <c r="I616" s="7">
        <v>670</v>
      </c>
      <c r="J616" s="12">
        <v>1</v>
      </c>
      <c r="K616" s="12">
        <v>13</v>
      </c>
      <c r="L616" s="46" t="s">
        <v>227</v>
      </c>
      <c r="M616" s="47" t="s">
        <v>347</v>
      </c>
      <c r="N616" s="47" t="s">
        <v>234</v>
      </c>
      <c r="O616" s="47" t="s">
        <v>66</v>
      </c>
      <c r="P616" s="3">
        <v>320</v>
      </c>
      <c r="Q616" s="125">
        <f>2+2</f>
        <v>4</v>
      </c>
      <c r="R616" s="125">
        <v>4</v>
      </c>
      <c r="T616" s="230"/>
    </row>
    <row r="617" spans="1:20" ht="18.75" hidden="1">
      <c r="A617" s="50"/>
      <c r="B617" s="49"/>
      <c r="C617" s="54"/>
      <c r="D617" s="52"/>
      <c r="E617" s="55"/>
      <c r="F617" s="55"/>
      <c r="G617" s="40"/>
      <c r="H617" s="8" t="s">
        <v>278</v>
      </c>
      <c r="I617" s="7">
        <v>670</v>
      </c>
      <c r="J617" s="12">
        <v>1</v>
      </c>
      <c r="K617" s="12">
        <v>13</v>
      </c>
      <c r="L617" s="46" t="s">
        <v>227</v>
      </c>
      <c r="M617" s="47" t="s">
        <v>347</v>
      </c>
      <c r="N617" s="47" t="s">
        <v>234</v>
      </c>
      <c r="O617" s="47" t="s">
        <v>66</v>
      </c>
      <c r="P617" s="3">
        <v>850</v>
      </c>
      <c r="Q617" s="346">
        <f>0.6-0.6</f>
        <v>0</v>
      </c>
      <c r="R617" s="125"/>
      <c r="T617" s="230"/>
    </row>
    <row r="618" spans="1:20" ht="31.5">
      <c r="A618" s="50"/>
      <c r="B618" s="49"/>
      <c r="C618" s="54"/>
      <c r="D618" s="52"/>
      <c r="E618" s="55"/>
      <c r="F618" s="55"/>
      <c r="G618" s="40"/>
      <c r="H618" s="8" t="s">
        <v>353</v>
      </c>
      <c r="I618" s="7">
        <v>670</v>
      </c>
      <c r="J618" s="12">
        <v>1</v>
      </c>
      <c r="K618" s="12">
        <v>13</v>
      </c>
      <c r="L618" s="46" t="s">
        <v>227</v>
      </c>
      <c r="M618" s="47" t="s">
        <v>347</v>
      </c>
      <c r="N618" s="47" t="s">
        <v>234</v>
      </c>
      <c r="O618" s="47" t="s">
        <v>352</v>
      </c>
      <c r="P618" s="3"/>
      <c r="Q618" s="125">
        <f>Q619</f>
        <v>3551.2</v>
      </c>
      <c r="R618" s="125">
        <f>R619</f>
        <v>3551.2</v>
      </c>
      <c r="T618" s="230"/>
    </row>
    <row r="619" spans="1:20" ht="18.75">
      <c r="A619" s="50"/>
      <c r="B619" s="49"/>
      <c r="C619" s="54"/>
      <c r="D619" s="52"/>
      <c r="E619" s="64"/>
      <c r="F619" s="64"/>
      <c r="G619" s="40"/>
      <c r="H619" s="8" t="s">
        <v>280</v>
      </c>
      <c r="I619" s="7">
        <v>670</v>
      </c>
      <c r="J619" s="12">
        <v>1</v>
      </c>
      <c r="K619" s="12">
        <v>13</v>
      </c>
      <c r="L619" s="46" t="s">
        <v>227</v>
      </c>
      <c r="M619" s="47" t="s">
        <v>347</v>
      </c>
      <c r="N619" s="47" t="s">
        <v>234</v>
      </c>
      <c r="O619" s="47" t="s">
        <v>352</v>
      </c>
      <c r="P619" s="3">
        <v>110</v>
      </c>
      <c r="Q619" s="125">
        <v>3551.2</v>
      </c>
      <c r="R619" s="125">
        <v>3551.2</v>
      </c>
      <c r="T619" s="230"/>
    </row>
    <row r="620" spans="1:20" ht="16.5">
      <c r="A620" s="50"/>
      <c r="B620" s="49"/>
      <c r="C620" s="54"/>
      <c r="D620" s="52"/>
      <c r="E620" s="64"/>
      <c r="F620" s="64"/>
      <c r="G620" s="40"/>
      <c r="H620" s="22" t="s">
        <v>669</v>
      </c>
      <c r="I620" s="10">
        <v>671</v>
      </c>
      <c r="J620" s="11"/>
      <c r="K620" s="11"/>
      <c r="L620" s="72"/>
      <c r="M620" s="73"/>
      <c r="N620" s="73"/>
      <c r="O620" s="73"/>
      <c r="P620" s="18"/>
      <c r="Q620" s="237">
        <f>Q621+Q647+Q653</f>
        <v>10486.099999999999</v>
      </c>
      <c r="R620" s="237">
        <f>R621+R647+R653</f>
        <v>10360.3</v>
      </c>
      <c r="T620" s="230"/>
    </row>
    <row r="621" spans="1:20" ht="19.5">
      <c r="A621" s="50"/>
      <c r="B621" s="49"/>
      <c r="C621" s="48"/>
      <c r="D621" s="52"/>
      <c r="E621" s="55"/>
      <c r="F621" s="55"/>
      <c r="G621" s="40"/>
      <c r="H621" s="231" t="s">
        <v>502</v>
      </c>
      <c r="I621" s="77">
        <v>671</v>
      </c>
      <c r="J621" s="78">
        <v>1</v>
      </c>
      <c r="K621" s="78"/>
      <c r="L621" s="79"/>
      <c r="M621" s="80"/>
      <c r="N621" s="80"/>
      <c r="O621" s="80"/>
      <c r="P621" s="85"/>
      <c r="Q621" s="126">
        <f>Q622</f>
        <v>6960.2</v>
      </c>
      <c r="R621" s="126">
        <f>R622</f>
        <v>6834.4</v>
      </c>
      <c r="T621" s="230"/>
    </row>
    <row r="622" spans="1:20" ht="19.5">
      <c r="A622" s="50"/>
      <c r="B622" s="49"/>
      <c r="C622" s="48"/>
      <c r="D622" s="52"/>
      <c r="E622" s="55"/>
      <c r="F622" s="55"/>
      <c r="G622" s="40"/>
      <c r="H622" s="231" t="s">
        <v>212</v>
      </c>
      <c r="I622" s="77">
        <v>671</v>
      </c>
      <c r="J622" s="78">
        <v>1</v>
      </c>
      <c r="K622" s="78">
        <v>13</v>
      </c>
      <c r="L622" s="79"/>
      <c r="M622" s="80"/>
      <c r="N622" s="80"/>
      <c r="O622" s="80"/>
      <c r="P622" s="85"/>
      <c r="Q622" s="126">
        <f>Q623</f>
        <v>6960.2</v>
      </c>
      <c r="R622" s="126">
        <f>R623</f>
        <v>6834.4</v>
      </c>
      <c r="T622" s="230"/>
    </row>
    <row r="623" spans="1:20" ht="31.5">
      <c r="A623" s="50"/>
      <c r="B623" s="49"/>
      <c r="C623" s="48"/>
      <c r="D623" s="52"/>
      <c r="E623" s="55"/>
      <c r="F623" s="55"/>
      <c r="G623" s="40"/>
      <c r="H623" s="2" t="s">
        <v>670</v>
      </c>
      <c r="I623" s="7">
        <v>671</v>
      </c>
      <c r="J623" s="12">
        <v>1</v>
      </c>
      <c r="K623" s="12">
        <v>13</v>
      </c>
      <c r="L623" s="46" t="s">
        <v>671</v>
      </c>
      <c r="M623" s="47" t="s">
        <v>222</v>
      </c>
      <c r="N623" s="47" t="s">
        <v>231</v>
      </c>
      <c r="O623" s="47" t="s">
        <v>240</v>
      </c>
      <c r="P623" s="3"/>
      <c r="Q623" s="125">
        <f>Q624+Q627+Q630+Q634+Q644</f>
        <v>6960.2</v>
      </c>
      <c r="R623" s="125">
        <f>R624+R627+R630+R634+R644</f>
        <v>6834.4</v>
      </c>
      <c r="T623" s="230"/>
    </row>
    <row r="624" spans="1:20" ht="18.75">
      <c r="A624" s="50"/>
      <c r="B624" s="49"/>
      <c r="C624" s="48"/>
      <c r="D624" s="52"/>
      <c r="E624" s="55"/>
      <c r="F624" s="55"/>
      <c r="G624" s="40"/>
      <c r="H624" s="8" t="s">
        <v>402</v>
      </c>
      <c r="I624" s="7">
        <v>671</v>
      </c>
      <c r="J624" s="12">
        <v>1</v>
      </c>
      <c r="K624" s="12">
        <v>13</v>
      </c>
      <c r="L624" s="46" t="s">
        <v>671</v>
      </c>
      <c r="M624" s="47" t="s">
        <v>222</v>
      </c>
      <c r="N624" s="47" t="s">
        <v>223</v>
      </c>
      <c r="O624" s="47" t="s">
        <v>240</v>
      </c>
      <c r="P624" s="3"/>
      <c r="Q624" s="125">
        <f>Q625</f>
        <v>406.2</v>
      </c>
      <c r="R624" s="125">
        <f>R625</f>
        <v>404.3</v>
      </c>
      <c r="T624" s="230"/>
    </row>
    <row r="625" spans="1:20" ht="18.75">
      <c r="A625" s="50"/>
      <c r="B625" s="49"/>
      <c r="C625" s="48"/>
      <c r="D625" s="52"/>
      <c r="E625" s="55"/>
      <c r="F625" s="55"/>
      <c r="G625" s="40"/>
      <c r="H625" s="8" t="s">
        <v>76</v>
      </c>
      <c r="I625" s="7">
        <v>671</v>
      </c>
      <c r="J625" s="12">
        <v>1</v>
      </c>
      <c r="K625" s="12">
        <v>13</v>
      </c>
      <c r="L625" s="46" t="s">
        <v>671</v>
      </c>
      <c r="M625" s="47" t="s">
        <v>222</v>
      </c>
      <c r="N625" s="47" t="s">
        <v>223</v>
      </c>
      <c r="O625" s="47" t="s">
        <v>50</v>
      </c>
      <c r="P625" s="3"/>
      <c r="Q625" s="125">
        <f>Q626</f>
        <v>406.2</v>
      </c>
      <c r="R625" s="125">
        <f>R626</f>
        <v>404.3</v>
      </c>
      <c r="T625" s="230"/>
    </row>
    <row r="626" spans="1:20" ht="18.75">
      <c r="A626" s="50"/>
      <c r="B626" s="49"/>
      <c r="C626" s="48"/>
      <c r="D626" s="52"/>
      <c r="E626" s="55"/>
      <c r="F626" s="55"/>
      <c r="G626" s="40"/>
      <c r="H626" s="2" t="s">
        <v>277</v>
      </c>
      <c r="I626" s="7">
        <v>671</v>
      </c>
      <c r="J626" s="12">
        <v>1</v>
      </c>
      <c r="K626" s="12">
        <v>13</v>
      </c>
      <c r="L626" s="46" t="s">
        <v>671</v>
      </c>
      <c r="M626" s="47" t="s">
        <v>222</v>
      </c>
      <c r="N626" s="47" t="s">
        <v>223</v>
      </c>
      <c r="O626" s="47" t="s">
        <v>50</v>
      </c>
      <c r="P626" s="3">
        <v>240</v>
      </c>
      <c r="Q626" s="125">
        <f>530-122-50.6+48.8</f>
        <v>406.2</v>
      </c>
      <c r="R626" s="125">
        <v>404.3</v>
      </c>
      <c r="T626" s="230"/>
    </row>
    <row r="627" spans="1:20" ht="31.5">
      <c r="A627" s="50"/>
      <c r="B627" s="49"/>
      <c r="C627" s="48"/>
      <c r="D627" s="52"/>
      <c r="E627" s="55"/>
      <c r="F627" s="55"/>
      <c r="G627" s="40"/>
      <c r="H627" s="8" t="s">
        <v>403</v>
      </c>
      <c r="I627" s="7">
        <v>671</v>
      </c>
      <c r="J627" s="12">
        <v>1</v>
      </c>
      <c r="K627" s="12">
        <v>13</v>
      </c>
      <c r="L627" s="46" t="s">
        <v>671</v>
      </c>
      <c r="M627" s="47" t="s">
        <v>222</v>
      </c>
      <c r="N627" s="47" t="s">
        <v>234</v>
      </c>
      <c r="O627" s="47" t="s">
        <v>240</v>
      </c>
      <c r="P627" s="3"/>
      <c r="Q627" s="125">
        <f>Q628</f>
        <v>87.9</v>
      </c>
      <c r="R627" s="125">
        <f>R628</f>
        <v>87.9</v>
      </c>
      <c r="T627" s="230"/>
    </row>
    <row r="628" spans="1:20" ht="31.5">
      <c r="A628" s="50"/>
      <c r="B628" s="49"/>
      <c r="C628" s="48"/>
      <c r="D628" s="52"/>
      <c r="E628" s="55"/>
      <c r="F628" s="55"/>
      <c r="G628" s="40"/>
      <c r="H628" s="8" t="s">
        <v>404</v>
      </c>
      <c r="I628" s="7">
        <v>671</v>
      </c>
      <c r="J628" s="12">
        <v>1</v>
      </c>
      <c r="K628" s="12">
        <v>13</v>
      </c>
      <c r="L628" s="46" t="s">
        <v>671</v>
      </c>
      <c r="M628" s="47" t="s">
        <v>222</v>
      </c>
      <c r="N628" s="47" t="s">
        <v>234</v>
      </c>
      <c r="O628" s="47" t="s">
        <v>49</v>
      </c>
      <c r="P628" s="3"/>
      <c r="Q628" s="125">
        <f>Q629</f>
        <v>87.9</v>
      </c>
      <c r="R628" s="125">
        <f>R629</f>
        <v>87.9</v>
      </c>
      <c r="T628" s="230"/>
    </row>
    <row r="629" spans="1:20" ht="18.75">
      <c r="A629" s="50"/>
      <c r="B629" s="49"/>
      <c r="C629" s="48"/>
      <c r="D629" s="52"/>
      <c r="E629" s="55"/>
      <c r="F629" s="55"/>
      <c r="G629" s="40"/>
      <c r="H629" s="2" t="s">
        <v>277</v>
      </c>
      <c r="I629" s="7">
        <v>671</v>
      </c>
      <c r="J629" s="12">
        <v>1</v>
      </c>
      <c r="K629" s="12">
        <v>13</v>
      </c>
      <c r="L629" s="46" t="s">
        <v>671</v>
      </c>
      <c r="M629" s="47" t="s">
        <v>222</v>
      </c>
      <c r="N629" s="47" t="s">
        <v>234</v>
      </c>
      <c r="O629" s="47" t="s">
        <v>49</v>
      </c>
      <c r="P629" s="3">
        <v>240</v>
      </c>
      <c r="Q629" s="125">
        <f>110-22.1</f>
        <v>87.9</v>
      </c>
      <c r="R629" s="125">
        <v>87.9</v>
      </c>
      <c r="T629" s="230"/>
    </row>
    <row r="630" spans="1:20" ht="31.5">
      <c r="A630" s="50"/>
      <c r="B630" s="49"/>
      <c r="C630" s="48"/>
      <c r="D630" s="52"/>
      <c r="E630" s="55"/>
      <c r="F630" s="55"/>
      <c r="G630" s="40"/>
      <c r="H630" s="2" t="s">
        <v>672</v>
      </c>
      <c r="I630" s="7">
        <v>671</v>
      </c>
      <c r="J630" s="12">
        <v>1</v>
      </c>
      <c r="K630" s="12">
        <v>13</v>
      </c>
      <c r="L630" s="46" t="s">
        <v>671</v>
      </c>
      <c r="M630" s="47" t="s">
        <v>222</v>
      </c>
      <c r="N630" s="47" t="s">
        <v>235</v>
      </c>
      <c r="O630" s="47" t="s">
        <v>240</v>
      </c>
      <c r="P630" s="3"/>
      <c r="Q630" s="125">
        <f>Q631</f>
        <v>30.2</v>
      </c>
      <c r="R630" s="125">
        <f>R631</f>
        <v>19.2</v>
      </c>
      <c r="T630" s="230"/>
    </row>
    <row r="631" spans="1:20" s="111" customFormat="1" ht="18.75">
      <c r="A631" s="81"/>
      <c r="B631" s="82"/>
      <c r="C631" s="92"/>
      <c r="D631" s="89"/>
      <c r="E631" s="93"/>
      <c r="F631" s="93"/>
      <c r="G631" s="75"/>
      <c r="H631" s="23" t="s">
        <v>673</v>
      </c>
      <c r="I631" s="7">
        <v>671</v>
      </c>
      <c r="J631" s="12">
        <v>1</v>
      </c>
      <c r="K631" s="12">
        <v>13</v>
      </c>
      <c r="L631" s="12">
        <v>15</v>
      </c>
      <c r="M631" s="47" t="s">
        <v>222</v>
      </c>
      <c r="N631" s="47" t="s">
        <v>235</v>
      </c>
      <c r="O631" s="47" t="s">
        <v>20</v>
      </c>
      <c r="P631" s="3"/>
      <c r="Q631" s="125">
        <f>Q632+Q633</f>
        <v>30.2</v>
      </c>
      <c r="R631" s="125">
        <f>R632+R633</f>
        <v>19.2</v>
      </c>
      <c r="S631" s="283"/>
      <c r="T631" s="230"/>
    </row>
    <row r="632" spans="1:20" ht="18.75" hidden="1">
      <c r="A632" s="48"/>
      <c r="B632" s="49"/>
      <c r="C632" s="54"/>
      <c r="D632" s="52"/>
      <c r="E632" s="64"/>
      <c r="F632" s="64"/>
      <c r="G632" s="40"/>
      <c r="H632" s="2" t="s">
        <v>277</v>
      </c>
      <c r="I632" s="7">
        <v>671</v>
      </c>
      <c r="J632" s="12">
        <v>1</v>
      </c>
      <c r="K632" s="12">
        <v>13</v>
      </c>
      <c r="L632" s="12">
        <v>15</v>
      </c>
      <c r="M632" s="47" t="s">
        <v>222</v>
      </c>
      <c r="N632" s="47" t="s">
        <v>235</v>
      </c>
      <c r="O632" s="47" t="s">
        <v>20</v>
      </c>
      <c r="P632" s="3">
        <v>240</v>
      </c>
      <c r="Q632" s="346">
        <f>110-10-8.2-91.8</f>
        <v>0</v>
      </c>
      <c r="R632" s="125"/>
      <c r="T632" s="230"/>
    </row>
    <row r="633" spans="1:20" ht="18.75">
      <c r="A633" s="50"/>
      <c r="B633" s="49"/>
      <c r="C633" s="54"/>
      <c r="D633" s="52"/>
      <c r="E633" s="64"/>
      <c r="F633" s="64"/>
      <c r="G633" s="40"/>
      <c r="H633" s="8" t="s">
        <v>278</v>
      </c>
      <c r="I633" s="7">
        <v>671</v>
      </c>
      <c r="J633" s="12">
        <v>1</v>
      </c>
      <c r="K633" s="12">
        <v>13</v>
      </c>
      <c r="L633" s="12">
        <v>15</v>
      </c>
      <c r="M633" s="47" t="s">
        <v>222</v>
      </c>
      <c r="N633" s="47" t="s">
        <v>235</v>
      </c>
      <c r="O633" s="47" t="s">
        <v>20</v>
      </c>
      <c r="P633" s="3">
        <v>850</v>
      </c>
      <c r="Q633" s="125">
        <f>22+8.2</f>
        <v>30.2</v>
      </c>
      <c r="R633" s="125">
        <v>19.2</v>
      </c>
      <c r="T633" s="230"/>
    </row>
    <row r="634" spans="1:20" ht="18.75">
      <c r="A634" s="50"/>
      <c r="B634" s="49"/>
      <c r="C634" s="54"/>
      <c r="D634" s="52"/>
      <c r="E634" s="64"/>
      <c r="F634" s="64"/>
      <c r="G634" s="40"/>
      <c r="H634" s="2" t="s">
        <v>406</v>
      </c>
      <c r="I634" s="7">
        <v>671</v>
      </c>
      <c r="J634" s="12">
        <v>1</v>
      </c>
      <c r="K634" s="12">
        <v>13</v>
      </c>
      <c r="L634" s="12">
        <v>15</v>
      </c>
      <c r="M634" s="47" t="s">
        <v>222</v>
      </c>
      <c r="N634" s="47" t="s">
        <v>233</v>
      </c>
      <c r="O634" s="47" t="s">
        <v>240</v>
      </c>
      <c r="P634" s="3"/>
      <c r="Q634" s="125">
        <f>Q635+Q642+Q640</f>
        <v>6383</v>
      </c>
      <c r="R634" s="125">
        <f>R635+R642+R640</f>
        <v>6270.1</v>
      </c>
      <c r="T634" s="230"/>
    </row>
    <row r="635" spans="1:20" ht="18.75">
      <c r="A635" s="50"/>
      <c r="B635" s="49"/>
      <c r="C635" s="54"/>
      <c r="D635" s="52"/>
      <c r="E635" s="64"/>
      <c r="F635" s="64"/>
      <c r="G635" s="40"/>
      <c r="H635" s="8" t="s">
        <v>64</v>
      </c>
      <c r="I635" s="7">
        <v>671</v>
      </c>
      <c r="J635" s="4">
        <v>1</v>
      </c>
      <c r="K635" s="12">
        <v>13</v>
      </c>
      <c r="L635" s="12">
        <v>15</v>
      </c>
      <c r="M635" s="47" t="s">
        <v>222</v>
      </c>
      <c r="N635" s="47" t="s">
        <v>233</v>
      </c>
      <c r="O635" s="47" t="s">
        <v>243</v>
      </c>
      <c r="P635" s="3"/>
      <c r="Q635" s="125">
        <f>Q636+Q637+Q638+Q639</f>
        <v>5381.4</v>
      </c>
      <c r="R635" s="125">
        <f>R636+R637+R638+R639</f>
        <v>5268.5</v>
      </c>
      <c r="T635" s="230"/>
    </row>
    <row r="636" spans="1:20" ht="18.75">
      <c r="A636" s="50"/>
      <c r="B636" s="49"/>
      <c r="C636" s="54"/>
      <c r="D636" s="52"/>
      <c r="E636" s="64"/>
      <c r="F636" s="64"/>
      <c r="G636" s="40"/>
      <c r="H636" s="8" t="s">
        <v>210</v>
      </c>
      <c r="I636" s="7">
        <v>671</v>
      </c>
      <c r="J636" s="4">
        <v>1</v>
      </c>
      <c r="K636" s="12">
        <v>13</v>
      </c>
      <c r="L636" s="12">
        <v>15</v>
      </c>
      <c r="M636" s="47" t="s">
        <v>222</v>
      </c>
      <c r="N636" s="47" t="s">
        <v>233</v>
      </c>
      <c r="O636" s="47" t="s">
        <v>243</v>
      </c>
      <c r="P636" s="3">
        <v>120</v>
      </c>
      <c r="Q636" s="125">
        <f>5044-200+26.2-90+7.9-14-26.2-7.9</f>
        <v>4740</v>
      </c>
      <c r="R636" s="125">
        <v>4738.7</v>
      </c>
      <c r="T636" s="230"/>
    </row>
    <row r="637" spans="1:20" ht="18.75">
      <c r="A637" s="50"/>
      <c r="B637" s="49"/>
      <c r="C637" s="54"/>
      <c r="D637" s="52"/>
      <c r="E637" s="64"/>
      <c r="F637" s="64"/>
      <c r="G637" s="40"/>
      <c r="H637" s="2" t="s">
        <v>277</v>
      </c>
      <c r="I637" s="7">
        <v>671</v>
      </c>
      <c r="J637" s="4">
        <v>1</v>
      </c>
      <c r="K637" s="12">
        <v>13</v>
      </c>
      <c r="L637" s="12">
        <v>15</v>
      </c>
      <c r="M637" s="47" t="s">
        <v>222</v>
      </c>
      <c r="N637" s="47" t="s">
        <v>233</v>
      </c>
      <c r="O637" s="47" t="s">
        <v>243</v>
      </c>
      <c r="P637" s="3">
        <v>240</v>
      </c>
      <c r="Q637" s="125">
        <f>582.5+10-30+50.6-12.7</f>
        <v>600.4</v>
      </c>
      <c r="R637" s="125">
        <v>529.8</v>
      </c>
      <c r="T637" s="230"/>
    </row>
    <row r="638" spans="1:20" ht="18.75">
      <c r="A638" s="50"/>
      <c r="B638" s="49"/>
      <c r="C638" s="54"/>
      <c r="D638" s="52"/>
      <c r="E638" s="64"/>
      <c r="F638" s="64"/>
      <c r="G638" s="40"/>
      <c r="H638" s="2" t="s">
        <v>284</v>
      </c>
      <c r="I638" s="7">
        <v>671</v>
      </c>
      <c r="J638" s="4">
        <v>1</v>
      </c>
      <c r="K638" s="12">
        <v>13</v>
      </c>
      <c r="L638" s="12">
        <v>15</v>
      </c>
      <c r="M638" s="47" t="s">
        <v>222</v>
      </c>
      <c r="N638" s="47" t="s">
        <v>233</v>
      </c>
      <c r="O638" s="47" t="s">
        <v>243</v>
      </c>
      <c r="P638" s="3">
        <v>830</v>
      </c>
      <c r="Q638" s="125">
        <v>10</v>
      </c>
      <c r="R638" s="125">
        <v>0</v>
      </c>
      <c r="T638" s="230"/>
    </row>
    <row r="639" spans="1:20" ht="18.75">
      <c r="A639" s="50"/>
      <c r="B639" s="49"/>
      <c r="C639" s="54"/>
      <c r="D639" s="52"/>
      <c r="E639" s="64"/>
      <c r="F639" s="64"/>
      <c r="G639" s="40"/>
      <c r="H639" s="8" t="s">
        <v>278</v>
      </c>
      <c r="I639" s="7">
        <v>671</v>
      </c>
      <c r="J639" s="4">
        <v>1</v>
      </c>
      <c r="K639" s="12">
        <v>13</v>
      </c>
      <c r="L639" s="12">
        <v>15</v>
      </c>
      <c r="M639" s="47" t="s">
        <v>222</v>
      </c>
      <c r="N639" s="47" t="s">
        <v>233</v>
      </c>
      <c r="O639" s="47" t="s">
        <v>243</v>
      </c>
      <c r="P639" s="3">
        <v>850</v>
      </c>
      <c r="Q639" s="125">
        <v>31</v>
      </c>
      <c r="R639" s="125">
        <v>0</v>
      </c>
      <c r="T639" s="230"/>
    </row>
    <row r="640" spans="1:20" ht="31.5">
      <c r="A640" s="50"/>
      <c r="B640" s="49"/>
      <c r="C640" s="54"/>
      <c r="D640" s="52"/>
      <c r="E640" s="64"/>
      <c r="F640" s="64"/>
      <c r="G640" s="40"/>
      <c r="H640" s="8" t="s">
        <v>458</v>
      </c>
      <c r="I640" s="7">
        <v>671</v>
      </c>
      <c r="J640" s="4">
        <v>1</v>
      </c>
      <c r="K640" s="12">
        <v>13</v>
      </c>
      <c r="L640" s="12">
        <v>15</v>
      </c>
      <c r="M640" s="47" t="s">
        <v>222</v>
      </c>
      <c r="N640" s="47" t="s">
        <v>233</v>
      </c>
      <c r="O640" s="47" t="s">
        <v>457</v>
      </c>
      <c r="P640" s="3"/>
      <c r="Q640" s="125">
        <f>Q641</f>
        <v>34.1</v>
      </c>
      <c r="R640" s="125">
        <f>R641</f>
        <v>34.1</v>
      </c>
      <c r="T640" s="230"/>
    </row>
    <row r="641" spans="1:20" ht="18.75">
      <c r="A641" s="50"/>
      <c r="B641" s="49"/>
      <c r="C641" s="54"/>
      <c r="D641" s="52"/>
      <c r="E641" s="64"/>
      <c r="F641" s="64"/>
      <c r="G641" s="40"/>
      <c r="H641" s="8" t="s">
        <v>210</v>
      </c>
      <c r="I641" s="7">
        <v>671</v>
      </c>
      <c r="J641" s="4">
        <v>1</v>
      </c>
      <c r="K641" s="12">
        <v>13</v>
      </c>
      <c r="L641" s="12">
        <v>15</v>
      </c>
      <c r="M641" s="47" t="s">
        <v>222</v>
      </c>
      <c r="N641" s="47" t="s">
        <v>233</v>
      </c>
      <c r="O641" s="47" t="s">
        <v>457</v>
      </c>
      <c r="P641" s="3">
        <v>120</v>
      </c>
      <c r="Q641" s="125">
        <f>26.2+7.9</f>
        <v>34.1</v>
      </c>
      <c r="R641" s="125">
        <v>34.1</v>
      </c>
      <c r="T641" s="230"/>
    </row>
    <row r="642" spans="1:20" ht="31.5">
      <c r="A642" s="50"/>
      <c r="B642" s="49"/>
      <c r="C642" s="54"/>
      <c r="D642" s="52"/>
      <c r="E642" s="64"/>
      <c r="F642" s="64"/>
      <c r="G642" s="40"/>
      <c r="H642" s="8" t="s">
        <v>353</v>
      </c>
      <c r="I642" s="7">
        <v>671</v>
      </c>
      <c r="J642" s="4">
        <v>1</v>
      </c>
      <c r="K642" s="12">
        <v>13</v>
      </c>
      <c r="L642" s="12">
        <v>15</v>
      </c>
      <c r="M642" s="47" t="s">
        <v>222</v>
      </c>
      <c r="N642" s="47" t="s">
        <v>233</v>
      </c>
      <c r="O642" s="47" t="s">
        <v>352</v>
      </c>
      <c r="P642" s="3"/>
      <c r="Q642" s="125">
        <f>Q643</f>
        <v>967.5</v>
      </c>
      <c r="R642" s="125">
        <f>R643</f>
        <v>967.5</v>
      </c>
      <c r="T642" s="230"/>
    </row>
    <row r="643" spans="1:20" s="111" customFormat="1" ht="18.75">
      <c r="A643" s="81"/>
      <c r="B643" s="82"/>
      <c r="C643" s="92"/>
      <c r="D643" s="89"/>
      <c r="E643" s="93"/>
      <c r="F643" s="93"/>
      <c r="G643" s="75"/>
      <c r="H643" s="8" t="s">
        <v>210</v>
      </c>
      <c r="I643" s="7">
        <v>671</v>
      </c>
      <c r="J643" s="4">
        <v>1</v>
      </c>
      <c r="K643" s="12">
        <v>13</v>
      </c>
      <c r="L643" s="12">
        <v>15</v>
      </c>
      <c r="M643" s="47" t="s">
        <v>222</v>
      </c>
      <c r="N643" s="47" t="s">
        <v>233</v>
      </c>
      <c r="O643" s="47" t="s">
        <v>352</v>
      </c>
      <c r="P643" s="3">
        <v>120</v>
      </c>
      <c r="Q643" s="125">
        <v>967.5</v>
      </c>
      <c r="R643" s="125">
        <v>967.5</v>
      </c>
      <c r="S643" s="283"/>
      <c r="T643" s="230"/>
    </row>
    <row r="644" spans="1:20" ht="47.25">
      <c r="A644" s="48"/>
      <c r="B644" s="49"/>
      <c r="C644" s="54"/>
      <c r="D644" s="52"/>
      <c r="E644" s="55"/>
      <c r="F644" s="55"/>
      <c r="G644" s="40"/>
      <c r="H644" s="8" t="s">
        <v>400</v>
      </c>
      <c r="I644" s="7">
        <v>671</v>
      </c>
      <c r="J644" s="4">
        <v>1</v>
      </c>
      <c r="K644" s="12">
        <v>13</v>
      </c>
      <c r="L644" s="12">
        <v>15</v>
      </c>
      <c r="M644" s="47" t="s">
        <v>222</v>
      </c>
      <c r="N644" s="47" t="s">
        <v>399</v>
      </c>
      <c r="O644" s="47" t="s">
        <v>240</v>
      </c>
      <c r="P644" s="3"/>
      <c r="Q644" s="125">
        <f>Q645</f>
        <v>52.9</v>
      </c>
      <c r="R644" s="125">
        <f>R645</f>
        <v>52.9</v>
      </c>
      <c r="T644" s="230"/>
    </row>
    <row r="645" spans="1:20" ht="63">
      <c r="A645" s="48"/>
      <c r="B645" s="49"/>
      <c r="C645" s="54"/>
      <c r="D645" s="52"/>
      <c r="E645" s="55"/>
      <c r="F645" s="55"/>
      <c r="G645" s="40"/>
      <c r="H645" s="8" t="s">
        <v>36</v>
      </c>
      <c r="I645" s="7">
        <v>671</v>
      </c>
      <c r="J645" s="4">
        <v>1</v>
      </c>
      <c r="K645" s="12">
        <v>13</v>
      </c>
      <c r="L645" s="12">
        <v>15</v>
      </c>
      <c r="M645" s="47" t="s">
        <v>222</v>
      </c>
      <c r="N645" s="47" t="s">
        <v>399</v>
      </c>
      <c r="O645" s="47" t="s">
        <v>310</v>
      </c>
      <c r="P645" s="3"/>
      <c r="Q645" s="125">
        <f>Q646</f>
        <v>52.9</v>
      </c>
      <c r="R645" s="125">
        <f>R646</f>
        <v>52.9</v>
      </c>
      <c r="T645" s="230"/>
    </row>
    <row r="646" spans="1:20" ht="18.75">
      <c r="A646" s="48"/>
      <c r="B646" s="49"/>
      <c r="C646" s="54"/>
      <c r="D646" s="52"/>
      <c r="E646" s="55"/>
      <c r="F646" s="55"/>
      <c r="G646" s="40"/>
      <c r="H646" s="2" t="s">
        <v>277</v>
      </c>
      <c r="I646" s="3">
        <v>671</v>
      </c>
      <c r="J646" s="15">
        <v>1</v>
      </c>
      <c r="K646" s="12">
        <v>13</v>
      </c>
      <c r="L646" s="12">
        <v>15</v>
      </c>
      <c r="M646" s="47" t="s">
        <v>222</v>
      </c>
      <c r="N646" s="47" t="s">
        <v>399</v>
      </c>
      <c r="O646" s="47" t="s">
        <v>310</v>
      </c>
      <c r="P646" s="3">
        <v>240</v>
      </c>
      <c r="Q646" s="125">
        <f>34.1+18.4+0.4</f>
        <v>52.9</v>
      </c>
      <c r="R646" s="125">
        <v>52.9</v>
      </c>
      <c r="T646" s="230"/>
    </row>
    <row r="647" spans="1:20" ht="19.5" hidden="1">
      <c r="A647" s="48"/>
      <c r="B647" s="49"/>
      <c r="C647" s="54"/>
      <c r="D647" s="52"/>
      <c r="E647" s="55"/>
      <c r="F647" s="55"/>
      <c r="G647" s="40"/>
      <c r="H647" s="231" t="s">
        <v>535</v>
      </c>
      <c r="I647" s="77">
        <v>671</v>
      </c>
      <c r="J647" s="87">
        <v>4</v>
      </c>
      <c r="K647" s="78"/>
      <c r="L647" s="78"/>
      <c r="M647" s="80"/>
      <c r="N647" s="80"/>
      <c r="O647" s="80"/>
      <c r="P647" s="85"/>
      <c r="Q647" s="348">
        <f aca="true" t="shared" si="30" ref="Q647:R651">Q648</f>
        <v>0</v>
      </c>
      <c r="R647" s="126">
        <f t="shared" si="30"/>
        <v>0</v>
      </c>
      <c r="T647" s="230"/>
    </row>
    <row r="648" spans="1:20" ht="19.5" hidden="1">
      <c r="A648" s="48"/>
      <c r="B648" s="49"/>
      <c r="C648" s="54"/>
      <c r="D648" s="52"/>
      <c r="E648" s="55"/>
      <c r="F648" s="55"/>
      <c r="G648" s="40"/>
      <c r="H648" s="231" t="s">
        <v>62</v>
      </c>
      <c r="I648" s="77">
        <v>671</v>
      </c>
      <c r="J648" s="87">
        <v>4</v>
      </c>
      <c r="K648" s="78">
        <v>9</v>
      </c>
      <c r="L648" s="78"/>
      <c r="M648" s="80"/>
      <c r="N648" s="80"/>
      <c r="O648" s="80"/>
      <c r="P648" s="85"/>
      <c r="Q648" s="348">
        <f t="shared" si="30"/>
        <v>0</v>
      </c>
      <c r="R648" s="126">
        <f t="shared" si="30"/>
        <v>0</v>
      </c>
      <c r="T648" s="230"/>
    </row>
    <row r="649" spans="1:20" ht="31.5" hidden="1">
      <c r="A649" s="48"/>
      <c r="B649" s="49"/>
      <c r="C649" s="54"/>
      <c r="D649" s="52"/>
      <c r="E649" s="55"/>
      <c r="F649" s="55"/>
      <c r="G649" s="40"/>
      <c r="H649" s="8" t="s">
        <v>538</v>
      </c>
      <c r="I649" s="7">
        <v>671</v>
      </c>
      <c r="J649" s="4">
        <v>4</v>
      </c>
      <c r="K649" s="12">
        <v>9</v>
      </c>
      <c r="L649" s="12">
        <v>14</v>
      </c>
      <c r="M649" s="47" t="s">
        <v>222</v>
      </c>
      <c r="N649" s="47" t="s">
        <v>231</v>
      </c>
      <c r="O649" s="47" t="s">
        <v>240</v>
      </c>
      <c r="P649" s="3"/>
      <c r="Q649" s="346">
        <f t="shared" si="30"/>
        <v>0</v>
      </c>
      <c r="R649" s="125">
        <f t="shared" si="30"/>
        <v>0</v>
      </c>
      <c r="T649" s="230"/>
    </row>
    <row r="650" spans="1:20" ht="18.75" hidden="1">
      <c r="A650" s="48"/>
      <c r="B650" s="49"/>
      <c r="C650" s="54"/>
      <c r="D650" s="52"/>
      <c r="E650" s="55"/>
      <c r="F650" s="55"/>
      <c r="G650" s="40"/>
      <c r="H650" s="8" t="s">
        <v>674</v>
      </c>
      <c r="I650" s="7">
        <v>671</v>
      </c>
      <c r="J650" s="4">
        <v>4</v>
      </c>
      <c r="K650" s="12">
        <v>9</v>
      </c>
      <c r="L650" s="12">
        <v>14</v>
      </c>
      <c r="M650" s="47" t="s">
        <v>222</v>
      </c>
      <c r="N650" s="47" t="s">
        <v>234</v>
      </c>
      <c r="O650" s="47" t="s">
        <v>240</v>
      </c>
      <c r="P650" s="3"/>
      <c r="Q650" s="346">
        <f t="shared" si="30"/>
        <v>0</v>
      </c>
      <c r="R650" s="125">
        <f t="shared" si="30"/>
        <v>0</v>
      </c>
      <c r="T650" s="230"/>
    </row>
    <row r="651" spans="1:20" ht="18.75" hidden="1">
      <c r="A651" s="48"/>
      <c r="B651" s="49"/>
      <c r="C651" s="54"/>
      <c r="D651" s="52"/>
      <c r="E651" s="55"/>
      <c r="F651" s="55"/>
      <c r="G651" s="40"/>
      <c r="H651" s="23" t="s">
        <v>299</v>
      </c>
      <c r="I651" s="3">
        <v>671</v>
      </c>
      <c r="J651" s="15">
        <v>4</v>
      </c>
      <c r="K651" s="12">
        <v>9</v>
      </c>
      <c r="L651" s="12">
        <v>14</v>
      </c>
      <c r="M651" s="47" t="s">
        <v>222</v>
      </c>
      <c r="N651" s="47" t="s">
        <v>234</v>
      </c>
      <c r="O651" s="47" t="s">
        <v>298</v>
      </c>
      <c r="P651" s="3"/>
      <c r="Q651" s="346">
        <f t="shared" si="30"/>
        <v>0</v>
      </c>
      <c r="R651" s="125">
        <f t="shared" si="30"/>
        <v>0</v>
      </c>
      <c r="T651" s="230"/>
    </row>
    <row r="652" spans="1:20" ht="18.75" hidden="1">
      <c r="A652" s="48"/>
      <c r="B652" s="49"/>
      <c r="C652" s="54"/>
      <c r="D652" s="52"/>
      <c r="E652" s="55"/>
      <c r="F652" s="55"/>
      <c r="G652" s="40"/>
      <c r="H652" s="2" t="s">
        <v>277</v>
      </c>
      <c r="I652" s="7">
        <v>671</v>
      </c>
      <c r="J652" s="4">
        <v>4</v>
      </c>
      <c r="K652" s="12">
        <v>9</v>
      </c>
      <c r="L652" s="12">
        <v>14</v>
      </c>
      <c r="M652" s="47" t="s">
        <v>222</v>
      </c>
      <c r="N652" s="47" t="s">
        <v>234</v>
      </c>
      <c r="O652" s="47" t="s">
        <v>298</v>
      </c>
      <c r="P652" s="3">
        <v>240</v>
      </c>
      <c r="Q652" s="346">
        <v>0</v>
      </c>
      <c r="R652" s="125"/>
      <c r="T652" s="230"/>
    </row>
    <row r="653" spans="1:20" ht="19.5">
      <c r="A653" s="48"/>
      <c r="B653" s="49"/>
      <c r="C653" s="54"/>
      <c r="D653" s="52"/>
      <c r="E653" s="55"/>
      <c r="F653" s="55"/>
      <c r="G653" s="40"/>
      <c r="H653" s="231" t="s">
        <v>504</v>
      </c>
      <c r="I653" s="77">
        <v>671</v>
      </c>
      <c r="J653" s="87">
        <v>10</v>
      </c>
      <c r="K653" s="78"/>
      <c r="L653" s="78"/>
      <c r="M653" s="80"/>
      <c r="N653" s="80"/>
      <c r="O653" s="80"/>
      <c r="P653" s="85"/>
      <c r="Q653" s="126">
        <f aca="true" t="shared" si="31" ref="Q653:R657">Q654</f>
        <v>3525.8999999999996</v>
      </c>
      <c r="R653" s="126">
        <f t="shared" si="31"/>
        <v>3525.9</v>
      </c>
      <c r="T653" s="230"/>
    </row>
    <row r="654" spans="1:20" ht="19.5">
      <c r="A654" s="50"/>
      <c r="B654" s="49"/>
      <c r="C654" s="54"/>
      <c r="D654" s="52"/>
      <c r="E654" s="55"/>
      <c r="F654" s="55"/>
      <c r="G654" s="40"/>
      <c r="H654" s="231" t="s">
        <v>505</v>
      </c>
      <c r="I654" s="77">
        <v>671</v>
      </c>
      <c r="J654" s="87">
        <v>10</v>
      </c>
      <c r="K654" s="78">
        <v>3</v>
      </c>
      <c r="L654" s="78"/>
      <c r="M654" s="80"/>
      <c r="N654" s="80"/>
      <c r="O654" s="80"/>
      <c r="P654" s="85"/>
      <c r="Q654" s="126">
        <f t="shared" si="31"/>
        <v>3525.8999999999996</v>
      </c>
      <c r="R654" s="126">
        <f t="shared" si="31"/>
        <v>3525.9</v>
      </c>
      <c r="T654" s="230"/>
    </row>
    <row r="655" spans="1:20" ht="31.5">
      <c r="A655" s="50"/>
      <c r="B655" s="49"/>
      <c r="C655" s="54"/>
      <c r="D655" s="52"/>
      <c r="E655" s="55"/>
      <c r="F655" s="55"/>
      <c r="G655" s="40"/>
      <c r="H655" s="2" t="s">
        <v>670</v>
      </c>
      <c r="I655" s="7">
        <v>671</v>
      </c>
      <c r="J655" s="4">
        <v>10</v>
      </c>
      <c r="K655" s="12">
        <v>3</v>
      </c>
      <c r="L655" s="12">
        <v>15</v>
      </c>
      <c r="M655" s="47" t="s">
        <v>222</v>
      </c>
      <c r="N655" s="47" t="s">
        <v>231</v>
      </c>
      <c r="O655" s="47" t="s">
        <v>240</v>
      </c>
      <c r="P655" s="3"/>
      <c r="Q655" s="125">
        <f t="shared" si="31"/>
        <v>3525.8999999999996</v>
      </c>
      <c r="R655" s="125">
        <f t="shared" si="31"/>
        <v>3525.9</v>
      </c>
      <c r="T655" s="230"/>
    </row>
    <row r="656" spans="1:20" ht="47.25">
      <c r="A656" s="50"/>
      <c r="B656" s="49"/>
      <c r="C656" s="54"/>
      <c r="D656" s="52"/>
      <c r="E656" s="55"/>
      <c r="F656" s="55"/>
      <c r="G656" s="40"/>
      <c r="H656" s="8" t="s">
        <v>400</v>
      </c>
      <c r="I656" s="7">
        <v>671</v>
      </c>
      <c r="J656" s="4">
        <v>10</v>
      </c>
      <c r="K656" s="12">
        <v>3</v>
      </c>
      <c r="L656" s="12">
        <v>15</v>
      </c>
      <c r="M656" s="47" t="s">
        <v>222</v>
      </c>
      <c r="N656" s="47" t="s">
        <v>399</v>
      </c>
      <c r="O656" s="47" t="s">
        <v>240</v>
      </c>
      <c r="P656" s="3"/>
      <c r="Q656" s="125">
        <f t="shared" si="31"/>
        <v>3525.8999999999996</v>
      </c>
      <c r="R656" s="125">
        <f t="shared" si="31"/>
        <v>3525.9</v>
      </c>
      <c r="T656" s="230"/>
    </row>
    <row r="657" spans="1:20" ht="63">
      <c r="A657" s="50"/>
      <c r="B657" s="49"/>
      <c r="C657" s="54"/>
      <c r="D657" s="52"/>
      <c r="E657" s="55"/>
      <c r="F657" s="55"/>
      <c r="G657" s="40"/>
      <c r="H657" s="8" t="s">
        <v>36</v>
      </c>
      <c r="I657" s="7">
        <v>671</v>
      </c>
      <c r="J657" s="4">
        <v>10</v>
      </c>
      <c r="K657" s="12">
        <v>3</v>
      </c>
      <c r="L657" s="12">
        <v>15</v>
      </c>
      <c r="M657" s="47" t="s">
        <v>222</v>
      </c>
      <c r="N657" s="47" t="s">
        <v>399</v>
      </c>
      <c r="O657" s="47" t="s">
        <v>310</v>
      </c>
      <c r="P657" s="3"/>
      <c r="Q657" s="125">
        <f t="shared" si="31"/>
        <v>3525.8999999999996</v>
      </c>
      <c r="R657" s="125">
        <f t="shared" si="31"/>
        <v>3525.9</v>
      </c>
      <c r="T657" s="230"/>
    </row>
    <row r="658" spans="1:20" ht="18.75">
      <c r="A658" s="50"/>
      <c r="B658" s="49"/>
      <c r="C658" s="54"/>
      <c r="D658" s="52"/>
      <c r="E658" s="55"/>
      <c r="F658" s="55"/>
      <c r="G658" s="40"/>
      <c r="H658" s="8" t="s">
        <v>282</v>
      </c>
      <c r="I658" s="3">
        <v>671</v>
      </c>
      <c r="J658" s="15">
        <v>10</v>
      </c>
      <c r="K658" s="12">
        <v>3</v>
      </c>
      <c r="L658" s="12">
        <v>15</v>
      </c>
      <c r="M658" s="47" t="s">
        <v>222</v>
      </c>
      <c r="N658" s="47" t="s">
        <v>399</v>
      </c>
      <c r="O658" s="47" t="s">
        <v>310</v>
      </c>
      <c r="P658" s="3">
        <v>320</v>
      </c>
      <c r="Q658" s="125">
        <f>2300+1244.7-18.4-0.4</f>
        <v>3525.8999999999996</v>
      </c>
      <c r="R658" s="125">
        <v>3525.9</v>
      </c>
      <c r="T658" s="230"/>
    </row>
    <row r="659" spans="1:20" ht="16.5">
      <c r="A659" s="50"/>
      <c r="B659" s="49"/>
      <c r="C659" s="54"/>
      <c r="D659" s="52"/>
      <c r="E659" s="55"/>
      <c r="F659" s="55"/>
      <c r="G659" s="40"/>
      <c r="H659" s="265" t="s">
        <v>675</v>
      </c>
      <c r="I659" s="18">
        <v>672</v>
      </c>
      <c r="J659" s="236"/>
      <c r="K659" s="11"/>
      <c r="L659" s="11"/>
      <c r="M659" s="73"/>
      <c r="N659" s="73"/>
      <c r="O659" s="73"/>
      <c r="P659" s="18"/>
      <c r="Q659" s="237">
        <f>Q660+Q800</f>
        <v>370533.2</v>
      </c>
      <c r="R659" s="237">
        <f>R660+R800</f>
        <v>367235.29999999993</v>
      </c>
      <c r="T659" s="230"/>
    </row>
    <row r="660" spans="1:20" ht="19.5">
      <c r="A660" s="50"/>
      <c r="B660" s="49"/>
      <c r="C660" s="54"/>
      <c r="D660" s="52"/>
      <c r="E660" s="55"/>
      <c r="F660" s="55"/>
      <c r="G660" s="40"/>
      <c r="H660" s="231" t="s">
        <v>596</v>
      </c>
      <c r="I660" s="85">
        <v>672</v>
      </c>
      <c r="J660" s="95">
        <v>7</v>
      </c>
      <c r="K660" s="78"/>
      <c r="L660" s="78"/>
      <c r="M660" s="80"/>
      <c r="N660" s="80"/>
      <c r="O660" s="80"/>
      <c r="P660" s="85"/>
      <c r="Q660" s="126">
        <f>Q661+Q684+Q722+Q731</f>
        <v>370533.2</v>
      </c>
      <c r="R660" s="126">
        <f>R661+R684+R722+R731</f>
        <v>367235.29999999993</v>
      </c>
      <c r="T660" s="230"/>
    </row>
    <row r="661" spans="1:20" ht="19.5">
      <c r="A661" s="50"/>
      <c r="B661" s="49"/>
      <c r="C661" s="54"/>
      <c r="D661" s="52"/>
      <c r="E661" s="55"/>
      <c r="F661" s="55"/>
      <c r="G661" s="40"/>
      <c r="H661" s="231" t="s">
        <v>78</v>
      </c>
      <c r="I661" s="85">
        <v>672</v>
      </c>
      <c r="J661" s="87">
        <v>7</v>
      </c>
      <c r="K661" s="78">
        <v>1</v>
      </c>
      <c r="L661" s="79"/>
      <c r="M661" s="80"/>
      <c r="N661" s="80"/>
      <c r="O661" s="80"/>
      <c r="P661" s="85"/>
      <c r="Q661" s="126">
        <f>Q669+Q662</f>
        <v>111323.20000000001</v>
      </c>
      <c r="R661" s="126">
        <f>R669+R662</f>
        <v>109770.8</v>
      </c>
      <c r="T661" s="230"/>
    </row>
    <row r="662" spans="1:20" ht="31.5">
      <c r="A662" s="50"/>
      <c r="B662" s="49"/>
      <c r="C662" s="54"/>
      <c r="D662" s="52"/>
      <c r="E662" s="55"/>
      <c r="F662" s="55"/>
      <c r="G662" s="40"/>
      <c r="H662" s="20" t="s">
        <v>597</v>
      </c>
      <c r="I662" s="5">
        <v>672</v>
      </c>
      <c r="J662" s="15">
        <v>7</v>
      </c>
      <c r="K662" s="12">
        <v>1</v>
      </c>
      <c r="L662" s="46" t="s">
        <v>223</v>
      </c>
      <c r="M662" s="47" t="s">
        <v>222</v>
      </c>
      <c r="N662" s="47" t="s">
        <v>231</v>
      </c>
      <c r="O662" s="47" t="s">
        <v>240</v>
      </c>
      <c r="P662" s="3"/>
      <c r="Q662" s="125">
        <f>Q663+Q666</f>
        <v>114.3</v>
      </c>
      <c r="R662" s="125">
        <f>R663+R666</f>
        <v>114.30000000000001</v>
      </c>
      <c r="T662" s="230"/>
    </row>
    <row r="663" spans="1:20" ht="31.5">
      <c r="A663" s="50"/>
      <c r="B663" s="49"/>
      <c r="C663" s="54"/>
      <c r="D663" s="52"/>
      <c r="E663" s="55"/>
      <c r="F663" s="55"/>
      <c r="G663" s="40"/>
      <c r="H663" s="20" t="s">
        <v>54</v>
      </c>
      <c r="I663" s="5">
        <v>672</v>
      </c>
      <c r="J663" s="15">
        <v>7</v>
      </c>
      <c r="K663" s="12">
        <v>1</v>
      </c>
      <c r="L663" s="46" t="s">
        <v>223</v>
      </c>
      <c r="M663" s="47" t="s">
        <v>222</v>
      </c>
      <c r="N663" s="47" t="s">
        <v>234</v>
      </c>
      <c r="O663" s="47" t="s">
        <v>240</v>
      </c>
      <c r="P663" s="3"/>
      <c r="Q663" s="125">
        <f>Q664</f>
        <v>109.39999999999999</v>
      </c>
      <c r="R663" s="125">
        <f>R664</f>
        <v>109.4</v>
      </c>
      <c r="T663" s="230"/>
    </row>
    <row r="664" spans="1:20" ht="18.75">
      <c r="A664" s="50"/>
      <c r="B664" s="49"/>
      <c r="C664" s="54"/>
      <c r="D664" s="52"/>
      <c r="E664" s="55"/>
      <c r="F664" s="55"/>
      <c r="G664" s="40"/>
      <c r="H664" s="266" t="s">
        <v>57</v>
      </c>
      <c r="I664" s="5">
        <v>672</v>
      </c>
      <c r="J664" s="15">
        <v>7</v>
      </c>
      <c r="K664" s="12">
        <v>1</v>
      </c>
      <c r="L664" s="46" t="s">
        <v>223</v>
      </c>
      <c r="M664" s="47" t="s">
        <v>222</v>
      </c>
      <c r="N664" s="47" t="s">
        <v>234</v>
      </c>
      <c r="O664" s="47" t="s">
        <v>52</v>
      </c>
      <c r="P664" s="3"/>
      <c r="Q664" s="125">
        <f>Q665</f>
        <v>109.39999999999999</v>
      </c>
      <c r="R664" s="125">
        <f>R665</f>
        <v>109.4</v>
      </c>
      <c r="T664" s="230"/>
    </row>
    <row r="665" spans="1:20" ht="18.75">
      <c r="A665" s="50"/>
      <c r="B665" s="49"/>
      <c r="C665" s="54"/>
      <c r="D665" s="52"/>
      <c r="E665" s="55"/>
      <c r="F665" s="55"/>
      <c r="G665" s="40"/>
      <c r="H665" s="266" t="s">
        <v>279</v>
      </c>
      <c r="I665" s="5">
        <v>672</v>
      </c>
      <c r="J665" s="15">
        <v>7</v>
      </c>
      <c r="K665" s="12">
        <v>1</v>
      </c>
      <c r="L665" s="46" t="s">
        <v>223</v>
      </c>
      <c r="M665" s="47" t="s">
        <v>222</v>
      </c>
      <c r="N665" s="47" t="s">
        <v>234</v>
      </c>
      <c r="O665" s="47" t="s">
        <v>52</v>
      </c>
      <c r="P665" s="3">
        <v>610</v>
      </c>
      <c r="Q665" s="125">
        <f>120.1-10.7</f>
        <v>109.39999999999999</v>
      </c>
      <c r="R665" s="125">
        <v>109.4</v>
      </c>
      <c r="T665" s="230"/>
    </row>
    <row r="666" spans="1:20" ht="31.5">
      <c r="A666" s="50"/>
      <c r="B666" s="49"/>
      <c r="C666" s="54"/>
      <c r="D666" s="52"/>
      <c r="E666" s="55"/>
      <c r="F666" s="55"/>
      <c r="G666" s="40"/>
      <c r="H666" s="20" t="s">
        <v>268</v>
      </c>
      <c r="I666" s="5">
        <v>672</v>
      </c>
      <c r="J666" s="15">
        <v>7</v>
      </c>
      <c r="K666" s="12">
        <v>1</v>
      </c>
      <c r="L666" s="46" t="s">
        <v>223</v>
      </c>
      <c r="M666" s="47" t="s">
        <v>222</v>
      </c>
      <c r="N666" s="47" t="s">
        <v>233</v>
      </c>
      <c r="O666" s="47" t="s">
        <v>240</v>
      </c>
      <c r="P666" s="3"/>
      <c r="Q666" s="125">
        <f>Q667</f>
        <v>4.9</v>
      </c>
      <c r="R666" s="125">
        <f>R667</f>
        <v>4.9</v>
      </c>
      <c r="T666" s="230"/>
    </row>
    <row r="667" spans="1:20" ht="18.75">
      <c r="A667" s="50"/>
      <c r="B667" s="49"/>
      <c r="C667" s="54"/>
      <c r="D667" s="52"/>
      <c r="E667" s="55"/>
      <c r="F667" s="55"/>
      <c r="G667" s="40"/>
      <c r="H667" s="246" t="s">
        <v>57</v>
      </c>
      <c r="I667" s="5">
        <v>672</v>
      </c>
      <c r="J667" s="15">
        <v>7</v>
      </c>
      <c r="K667" s="12">
        <v>1</v>
      </c>
      <c r="L667" s="46" t="s">
        <v>223</v>
      </c>
      <c r="M667" s="47" t="s">
        <v>222</v>
      </c>
      <c r="N667" s="47" t="s">
        <v>233</v>
      </c>
      <c r="O667" s="47" t="s">
        <v>52</v>
      </c>
      <c r="P667" s="3"/>
      <c r="Q667" s="125">
        <f>Q668</f>
        <v>4.9</v>
      </c>
      <c r="R667" s="125">
        <f>R668</f>
        <v>4.9</v>
      </c>
      <c r="T667" s="230"/>
    </row>
    <row r="668" spans="1:20" ht="18.75">
      <c r="A668" s="50"/>
      <c r="B668" s="49"/>
      <c r="C668" s="54"/>
      <c r="D668" s="52"/>
      <c r="E668" s="55"/>
      <c r="F668" s="55"/>
      <c r="G668" s="40"/>
      <c r="H668" s="257" t="s">
        <v>279</v>
      </c>
      <c r="I668" s="5">
        <v>672</v>
      </c>
      <c r="J668" s="15">
        <v>7</v>
      </c>
      <c r="K668" s="12">
        <v>1</v>
      </c>
      <c r="L668" s="46" t="s">
        <v>223</v>
      </c>
      <c r="M668" s="47" t="s">
        <v>222</v>
      </c>
      <c r="N668" s="47" t="s">
        <v>233</v>
      </c>
      <c r="O668" s="47" t="s">
        <v>52</v>
      </c>
      <c r="P668" s="3">
        <v>610</v>
      </c>
      <c r="Q668" s="125">
        <v>4.9</v>
      </c>
      <c r="R668" s="125">
        <v>4.9</v>
      </c>
      <c r="T668" s="230"/>
    </row>
    <row r="669" spans="1:20" ht="31.5">
      <c r="A669" s="50"/>
      <c r="B669" s="49"/>
      <c r="C669" s="54"/>
      <c r="D669" s="52"/>
      <c r="E669" s="55"/>
      <c r="F669" s="55"/>
      <c r="G669" s="40"/>
      <c r="H669" s="20" t="s">
        <v>676</v>
      </c>
      <c r="I669" s="5">
        <v>672</v>
      </c>
      <c r="J669" s="15">
        <v>7</v>
      </c>
      <c r="K669" s="12">
        <v>1</v>
      </c>
      <c r="L669" s="46" t="s">
        <v>233</v>
      </c>
      <c r="M669" s="47" t="s">
        <v>222</v>
      </c>
      <c r="N669" s="47" t="s">
        <v>231</v>
      </c>
      <c r="O669" s="47" t="s">
        <v>240</v>
      </c>
      <c r="P669" s="7"/>
      <c r="Q669" s="124">
        <f>Q670+Q679</f>
        <v>111208.90000000001</v>
      </c>
      <c r="R669" s="124">
        <f>R670+R679</f>
        <v>109656.5</v>
      </c>
      <c r="T669" s="230"/>
    </row>
    <row r="670" spans="1:20" ht="18.75">
      <c r="A670" s="50"/>
      <c r="B670" s="49"/>
      <c r="C670" s="54"/>
      <c r="D670" s="52"/>
      <c r="E670" s="55"/>
      <c r="F670" s="55"/>
      <c r="G670" s="40"/>
      <c r="H670" s="8" t="s">
        <v>249</v>
      </c>
      <c r="I670" s="3">
        <v>672</v>
      </c>
      <c r="J670" s="15">
        <v>7</v>
      </c>
      <c r="K670" s="12">
        <v>1</v>
      </c>
      <c r="L670" s="46" t="s">
        <v>233</v>
      </c>
      <c r="M670" s="47" t="s">
        <v>222</v>
      </c>
      <c r="N670" s="47" t="s">
        <v>223</v>
      </c>
      <c r="O670" s="47" t="s">
        <v>240</v>
      </c>
      <c r="P670" s="7"/>
      <c r="Q670" s="124">
        <f>Q671+Q675+Q677+Q673</f>
        <v>97084.8</v>
      </c>
      <c r="R670" s="124">
        <f>R671+R675+R677+R673</f>
        <v>97084.8</v>
      </c>
      <c r="T670" s="230"/>
    </row>
    <row r="671" spans="1:20" ht="18.75">
      <c r="A671" s="50"/>
      <c r="B671" s="49"/>
      <c r="C671" s="54"/>
      <c r="D671" s="52"/>
      <c r="E671" s="55"/>
      <c r="F671" s="55"/>
      <c r="G671" s="40"/>
      <c r="H671" s="2" t="s">
        <v>57</v>
      </c>
      <c r="I671" s="5">
        <v>672</v>
      </c>
      <c r="J671" s="15">
        <v>7</v>
      </c>
      <c r="K671" s="12">
        <v>1</v>
      </c>
      <c r="L671" s="46" t="s">
        <v>233</v>
      </c>
      <c r="M671" s="47" t="s">
        <v>222</v>
      </c>
      <c r="N671" s="47" t="s">
        <v>223</v>
      </c>
      <c r="O671" s="47" t="s">
        <v>52</v>
      </c>
      <c r="P671" s="7"/>
      <c r="Q671" s="124">
        <f>Q672</f>
        <v>17716.9</v>
      </c>
      <c r="R671" s="124">
        <f>R672</f>
        <v>17716.9</v>
      </c>
      <c r="T671" s="230"/>
    </row>
    <row r="672" spans="1:20" ht="18.75">
      <c r="A672" s="50"/>
      <c r="B672" s="49"/>
      <c r="C672" s="54"/>
      <c r="D672" s="52"/>
      <c r="E672" s="55"/>
      <c r="F672" s="55"/>
      <c r="G672" s="40"/>
      <c r="H672" s="20" t="s">
        <v>279</v>
      </c>
      <c r="I672" s="5">
        <v>672</v>
      </c>
      <c r="J672" s="15">
        <v>7</v>
      </c>
      <c r="K672" s="12">
        <v>1</v>
      </c>
      <c r="L672" s="46" t="s">
        <v>233</v>
      </c>
      <c r="M672" s="47" t="s">
        <v>222</v>
      </c>
      <c r="N672" s="47" t="s">
        <v>223</v>
      </c>
      <c r="O672" s="47" t="s">
        <v>52</v>
      </c>
      <c r="P672" s="7">
        <v>610</v>
      </c>
      <c r="Q672" s="124">
        <f>16523.1+88.6+11.2+18.2+8.3+78.7+19+26+73.9+19.9+350.1+38.1+215+23.9+75.6+47.7+55.2+44.4</f>
        <v>17716.9</v>
      </c>
      <c r="R672" s="124">
        <v>17716.9</v>
      </c>
      <c r="T672" s="230"/>
    </row>
    <row r="673" spans="1:20" ht="18.75">
      <c r="A673" s="50"/>
      <c r="B673" s="49"/>
      <c r="C673" s="54"/>
      <c r="D673" s="52"/>
      <c r="E673" s="55"/>
      <c r="F673" s="55"/>
      <c r="G673" s="40"/>
      <c r="H673" s="246" t="s">
        <v>60</v>
      </c>
      <c r="I673" s="5">
        <v>672</v>
      </c>
      <c r="J673" s="15">
        <v>7</v>
      </c>
      <c r="K673" s="12">
        <v>1</v>
      </c>
      <c r="L673" s="46" t="s">
        <v>233</v>
      </c>
      <c r="M673" s="47" t="s">
        <v>222</v>
      </c>
      <c r="N673" s="47" t="s">
        <v>223</v>
      </c>
      <c r="O673" s="47" t="s">
        <v>53</v>
      </c>
      <c r="P673" s="7"/>
      <c r="Q673" s="124">
        <f>Q674</f>
        <v>108.8</v>
      </c>
      <c r="R673" s="124">
        <f>R674</f>
        <v>108.8</v>
      </c>
      <c r="T673" s="230"/>
    </row>
    <row r="674" spans="1:20" ht="18.75">
      <c r="A674" s="50"/>
      <c r="B674" s="49"/>
      <c r="C674" s="54"/>
      <c r="D674" s="52"/>
      <c r="E674" s="55"/>
      <c r="F674" s="55"/>
      <c r="G674" s="40"/>
      <c r="H674" s="257" t="s">
        <v>279</v>
      </c>
      <c r="I674" s="5">
        <v>672</v>
      </c>
      <c r="J674" s="15">
        <v>7</v>
      </c>
      <c r="K674" s="12">
        <v>1</v>
      </c>
      <c r="L674" s="46" t="s">
        <v>233</v>
      </c>
      <c r="M674" s="47" t="s">
        <v>222</v>
      </c>
      <c r="N674" s="47" t="s">
        <v>223</v>
      </c>
      <c r="O674" s="47" t="s">
        <v>53</v>
      </c>
      <c r="P674" s="7">
        <v>610</v>
      </c>
      <c r="Q674" s="124">
        <f>25.9+5.1+5.3+21.8+8.8+5.5+23.5+1.2+6.8+4.9</f>
        <v>108.8</v>
      </c>
      <c r="R674" s="124">
        <v>108.8</v>
      </c>
      <c r="T674" s="230"/>
    </row>
    <row r="675" spans="1:20" ht="31.5">
      <c r="A675" s="50"/>
      <c r="B675" s="49"/>
      <c r="C675" s="54"/>
      <c r="D675" s="52"/>
      <c r="E675" s="55"/>
      <c r="F675" s="55"/>
      <c r="G675" s="40"/>
      <c r="H675" s="20" t="s">
        <v>353</v>
      </c>
      <c r="I675" s="5">
        <v>672</v>
      </c>
      <c r="J675" s="15">
        <v>7</v>
      </c>
      <c r="K675" s="12">
        <v>1</v>
      </c>
      <c r="L675" s="46" t="s">
        <v>233</v>
      </c>
      <c r="M675" s="47" t="s">
        <v>222</v>
      </c>
      <c r="N675" s="47" t="s">
        <v>223</v>
      </c>
      <c r="O675" s="47" t="s">
        <v>352</v>
      </c>
      <c r="P675" s="7"/>
      <c r="Q675" s="124">
        <f>Q676</f>
        <v>6000</v>
      </c>
      <c r="R675" s="124">
        <f>R676</f>
        <v>6000</v>
      </c>
      <c r="T675" s="230"/>
    </row>
    <row r="676" spans="1:20" ht="18.75">
      <c r="A676" s="50"/>
      <c r="B676" s="49"/>
      <c r="C676" s="54"/>
      <c r="D676" s="52"/>
      <c r="E676" s="55"/>
      <c r="F676" s="55"/>
      <c r="G676" s="40"/>
      <c r="H676" s="20" t="s">
        <v>279</v>
      </c>
      <c r="I676" s="5">
        <v>672</v>
      </c>
      <c r="J676" s="15">
        <v>7</v>
      </c>
      <c r="K676" s="12">
        <v>1</v>
      </c>
      <c r="L676" s="46" t="s">
        <v>233</v>
      </c>
      <c r="M676" s="47" t="s">
        <v>222</v>
      </c>
      <c r="N676" s="47" t="s">
        <v>223</v>
      </c>
      <c r="O676" s="47" t="s">
        <v>352</v>
      </c>
      <c r="P676" s="3">
        <v>610</v>
      </c>
      <c r="Q676" s="125">
        <v>6000</v>
      </c>
      <c r="R676" s="125">
        <v>6000</v>
      </c>
      <c r="T676" s="230"/>
    </row>
    <row r="677" spans="1:20" ht="31.5">
      <c r="A677" s="50"/>
      <c r="B677" s="49"/>
      <c r="C677" s="54"/>
      <c r="D677" s="52"/>
      <c r="E677" s="55"/>
      <c r="F677" s="55"/>
      <c r="G677" s="40"/>
      <c r="H677" s="2" t="s">
        <v>59</v>
      </c>
      <c r="I677" s="7">
        <v>672</v>
      </c>
      <c r="J677" s="12">
        <v>7</v>
      </c>
      <c r="K677" s="12">
        <v>1</v>
      </c>
      <c r="L677" s="46" t="s">
        <v>233</v>
      </c>
      <c r="M677" s="47" t="s">
        <v>222</v>
      </c>
      <c r="N677" s="47" t="s">
        <v>223</v>
      </c>
      <c r="O677" s="47" t="s">
        <v>58</v>
      </c>
      <c r="P677" s="3"/>
      <c r="Q677" s="125">
        <f>Q678</f>
        <v>73259.1</v>
      </c>
      <c r="R677" s="125">
        <f>R678</f>
        <v>73259.1</v>
      </c>
      <c r="T677" s="230"/>
    </row>
    <row r="678" spans="1:20" ht="18.75">
      <c r="A678" s="50"/>
      <c r="B678" s="49"/>
      <c r="C678" s="54"/>
      <c r="D678" s="52"/>
      <c r="E678" s="55"/>
      <c r="F678" s="55"/>
      <c r="G678" s="40"/>
      <c r="H678" s="20" t="s">
        <v>279</v>
      </c>
      <c r="I678" s="7">
        <v>672</v>
      </c>
      <c r="J678" s="12">
        <v>7</v>
      </c>
      <c r="K678" s="12">
        <v>1</v>
      </c>
      <c r="L678" s="46" t="s">
        <v>233</v>
      </c>
      <c r="M678" s="47" t="s">
        <v>222</v>
      </c>
      <c r="N678" s="47" t="s">
        <v>223</v>
      </c>
      <c r="O678" s="47" t="s">
        <v>58</v>
      </c>
      <c r="P678" s="3">
        <v>610</v>
      </c>
      <c r="Q678" s="125">
        <f>72593.1+255+411</f>
        <v>73259.1</v>
      </c>
      <c r="R678" s="125">
        <v>73259.1</v>
      </c>
      <c r="T678" s="230"/>
    </row>
    <row r="679" spans="1:20" ht="18.75">
      <c r="A679" s="50"/>
      <c r="B679" s="49"/>
      <c r="C679" s="54"/>
      <c r="D679" s="52"/>
      <c r="E679" s="55"/>
      <c r="F679" s="55"/>
      <c r="G679" s="40"/>
      <c r="H679" s="20" t="s">
        <v>312</v>
      </c>
      <c r="I679" s="7">
        <v>672</v>
      </c>
      <c r="J679" s="12">
        <v>7</v>
      </c>
      <c r="K679" s="12">
        <v>1</v>
      </c>
      <c r="L679" s="46" t="s">
        <v>233</v>
      </c>
      <c r="M679" s="47" t="s">
        <v>222</v>
      </c>
      <c r="N679" s="47" t="s">
        <v>225</v>
      </c>
      <c r="O679" s="47" t="s">
        <v>240</v>
      </c>
      <c r="P679" s="3"/>
      <c r="Q679" s="125">
        <f>Q680+Q682</f>
        <v>14124.1</v>
      </c>
      <c r="R679" s="125">
        <f>R680+R682</f>
        <v>12571.7</v>
      </c>
      <c r="T679" s="230"/>
    </row>
    <row r="680" spans="1:20" ht="18.75">
      <c r="A680" s="50"/>
      <c r="B680" s="49"/>
      <c r="C680" s="54"/>
      <c r="D680" s="52"/>
      <c r="E680" s="55"/>
      <c r="F680" s="55"/>
      <c r="G680" s="40"/>
      <c r="H680" s="20" t="s">
        <v>57</v>
      </c>
      <c r="I680" s="7">
        <v>672</v>
      </c>
      <c r="J680" s="12">
        <v>7</v>
      </c>
      <c r="K680" s="12">
        <v>1</v>
      </c>
      <c r="L680" s="46" t="s">
        <v>233</v>
      </c>
      <c r="M680" s="47" t="s">
        <v>222</v>
      </c>
      <c r="N680" s="47" t="s">
        <v>225</v>
      </c>
      <c r="O680" s="47" t="s">
        <v>52</v>
      </c>
      <c r="P680" s="3"/>
      <c r="Q680" s="125">
        <f>Q681</f>
        <v>1524.1999999999987</v>
      </c>
      <c r="R680" s="125">
        <f>R681</f>
        <v>899.5</v>
      </c>
      <c r="T680" s="230"/>
    </row>
    <row r="681" spans="1:20" ht="18.75">
      <c r="A681" s="50"/>
      <c r="B681" s="49"/>
      <c r="C681" s="54"/>
      <c r="D681" s="52"/>
      <c r="E681" s="55"/>
      <c r="F681" s="55"/>
      <c r="G681" s="40"/>
      <c r="H681" s="20" t="s">
        <v>279</v>
      </c>
      <c r="I681" s="7">
        <v>672</v>
      </c>
      <c r="J681" s="12">
        <v>7</v>
      </c>
      <c r="K681" s="12">
        <v>1</v>
      </c>
      <c r="L681" s="46" t="s">
        <v>233</v>
      </c>
      <c r="M681" s="47" t="s">
        <v>222</v>
      </c>
      <c r="N681" s="47" t="s">
        <v>225</v>
      </c>
      <c r="O681" s="47" t="s">
        <v>52</v>
      </c>
      <c r="P681" s="3">
        <v>610</v>
      </c>
      <c r="Q681" s="125">
        <f>16467.6+130-155.7+855.3+405.9-16311.9+32.3+16.1+84.6</f>
        <v>1524.1999999999987</v>
      </c>
      <c r="R681" s="125">
        <v>899.5</v>
      </c>
      <c r="T681" s="230"/>
    </row>
    <row r="682" spans="1:20" ht="31.5">
      <c r="A682" s="50"/>
      <c r="B682" s="49"/>
      <c r="C682" s="54"/>
      <c r="D682" s="52"/>
      <c r="E682" s="55"/>
      <c r="F682" s="55"/>
      <c r="G682" s="40"/>
      <c r="H682" s="20" t="s">
        <v>677</v>
      </c>
      <c r="I682" s="7">
        <v>672</v>
      </c>
      <c r="J682" s="12">
        <v>7</v>
      </c>
      <c r="K682" s="12">
        <v>1</v>
      </c>
      <c r="L682" s="46" t="s">
        <v>233</v>
      </c>
      <c r="M682" s="47" t="s">
        <v>222</v>
      </c>
      <c r="N682" s="47" t="s">
        <v>225</v>
      </c>
      <c r="O682" s="47" t="s">
        <v>678</v>
      </c>
      <c r="P682" s="3"/>
      <c r="Q682" s="125">
        <f>Q683</f>
        <v>12599.900000000001</v>
      </c>
      <c r="R682" s="125">
        <f>R683</f>
        <v>11672.2</v>
      </c>
      <c r="T682" s="230"/>
    </row>
    <row r="683" spans="1:20" ht="18.75">
      <c r="A683" s="50"/>
      <c r="B683" s="49"/>
      <c r="C683" s="54"/>
      <c r="D683" s="52"/>
      <c r="E683" s="55"/>
      <c r="F683" s="55"/>
      <c r="G683" s="40"/>
      <c r="H683" s="20" t="s">
        <v>279</v>
      </c>
      <c r="I683" s="7">
        <v>672</v>
      </c>
      <c r="J683" s="12">
        <v>7</v>
      </c>
      <c r="K683" s="12">
        <v>1</v>
      </c>
      <c r="L683" s="46" t="s">
        <v>233</v>
      </c>
      <c r="M683" s="47" t="s">
        <v>222</v>
      </c>
      <c r="N683" s="47" t="s">
        <v>225</v>
      </c>
      <c r="O683" s="47" t="s">
        <v>678</v>
      </c>
      <c r="P683" s="3">
        <v>610</v>
      </c>
      <c r="Q683" s="125">
        <f>16311.9-51.8-3660.2</f>
        <v>12599.900000000001</v>
      </c>
      <c r="R683" s="125">
        <v>11672.2</v>
      </c>
      <c r="T683" s="230"/>
    </row>
    <row r="684" spans="1:20" ht="19.5">
      <c r="A684" s="50"/>
      <c r="B684" s="49"/>
      <c r="C684" s="54"/>
      <c r="D684" s="52"/>
      <c r="E684" s="55"/>
      <c r="F684" s="55"/>
      <c r="G684" s="40"/>
      <c r="H684" s="231" t="s">
        <v>215</v>
      </c>
      <c r="I684" s="77">
        <v>672</v>
      </c>
      <c r="J684" s="78">
        <v>7</v>
      </c>
      <c r="K684" s="78">
        <v>2</v>
      </c>
      <c r="L684" s="79"/>
      <c r="M684" s="80"/>
      <c r="N684" s="80"/>
      <c r="O684" s="80"/>
      <c r="P684" s="85"/>
      <c r="Q684" s="126">
        <f>Q695+Q718+Q685</f>
        <v>230674.3</v>
      </c>
      <c r="R684" s="126">
        <f>R695+R718+R685</f>
        <v>229033.39999999997</v>
      </c>
      <c r="T684" s="230"/>
    </row>
    <row r="685" spans="1:20" ht="31.5">
      <c r="A685" s="50"/>
      <c r="B685" s="49"/>
      <c r="C685" s="54"/>
      <c r="D685" s="52"/>
      <c r="E685" s="55"/>
      <c r="F685" s="55"/>
      <c r="G685" s="40"/>
      <c r="H685" s="20" t="s">
        <v>597</v>
      </c>
      <c r="I685" s="7">
        <v>672</v>
      </c>
      <c r="J685" s="12">
        <v>7</v>
      </c>
      <c r="K685" s="12">
        <v>2</v>
      </c>
      <c r="L685" s="46" t="s">
        <v>223</v>
      </c>
      <c r="M685" s="47" t="s">
        <v>222</v>
      </c>
      <c r="N685" s="47" t="s">
        <v>231</v>
      </c>
      <c r="O685" s="47" t="s">
        <v>240</v>
      </c>
      <c r="P685" s="3"/>
      <c r="Q685" s="125">
        <f>Q686+Q689+Q692</f>
        <v>192.6</v>
      </c>
      <c r="R685" s="125">
        <f>R686+R689+R692</f>
        <v>192.6</v>
      </c>
      <c r="T685" s="230"/>
    </row>
    <row r="686" spans="1:20" ht="31.5">
      <c r="A686" s="50"/>
      <c r="B686" s="49"/>
      <c r="C686" s="54"/>
      <c r="D686" s="52"/>
      <c r="E686" s="55"/>
      <c r="F686" s="55"/>
      <c r="G686" s="40"/>
      <c r="H686" s="20" t="s">
        <v>54</v>
      </c>
      <c r="I686" s="7">
        <v>672</v>
      </c>
      <c r="J686" s="12">
        <v>7</v>
      </c>
      <c r="K686" s="12">
        <v>2</v>
      </c>
      <c r="L686" s="46" t="s">
        <v>223</v>
      </c>
      <c r="M686" s="47" t="s">
        <v>222</v>
      </c>
      <c r="N686" s="47" t="s">
        <v>235</v>
      </c>
      <c r="O686" s="47" t="s">
        <v>240</v>
      </c>
      <c r="P686" s="3"/>
      <c r="Q686" s="125">
        <f>Q687</f>
        <v>3.3</v>
      </c>
      <c r="R686" s="125">
        <f>R687</f>
        <v>3.3</v>
      </c>
      <c r="T686" s="230"/>
    </row>
    <row r="687" spans="1:20" ht="18.75">
      <c r="A687" s="50"/>
      <c r="B687" s="49"/>
      <c r="C687" s="54"/>
      <c r="D687" s="52"/>
      <c r="E687" s="55"/>
      <c r="F687" s="55"/>
      <c r="G687" s="40"/>
      <c r="H687" s="246" t="s">
        <v>60</v>
      </c>
      <c r="I687" s="7">
        <v>672</v>
      </c>
      <c r="J687" s="12">
        <v>7</v>
      </c>
      <c r="K687" s="12">
        <v>2</v>
      </c>
      <c r="L687" s="46" t="s">
        <v>223</v>
      </c>
      <c r="M687" s="47" t="s">
        <v>222</v>
      </c>
      <c r="N687" s="47" t="s">
        <v>235</v>
      </c>
      <c r="O687" s="47" t="s">
        <v>53</v>
      </c>
      <c r="P687" s="3"/>
      <c r="Q687" s="125">
        <f>Q688</f>
        <v>3.3</v>
      </c>
      <c r="R687" s="125">
        <f>R688</f>
        <v>3.3</v>
      </c>
      <c r="T687" s="230"/>
    </row>
    <row r="688" spans="1:20" ht="18.75">
      <c r="A688" s="50"/>
      <c r="B688" s="49"/>
      <c r="C688" s="54"/>
      <c r="D688" s="52"/>
      <c r="E688" s="55"/>
      <c r="F688" s="55"/>
      <c r="G688" s="40"/>
      <c r="H688" s="257" t="s">
        <v>279</v>
      </c>
      <c r="I688" s="7">
        <v>672</v>
      </c>
      <c r="J688" s="12">
        <v>7</v>
      </c>
      <c r="K688" s="12">
        <v>2</v>
      </c>
      <c r="L688" s="46" t="s">
        <v>223</v>
      </c>
      <c r="M688" s="47" t="s">
        <v>222</v>
      </c>
      <c r="N688" s="47" t="s">
        <v>235</v>
      </c>
      <c r="O688" s="47" t="s">
        <v>53</v>
      </c>
      <c r="P688" s="3">
        <v>610</v>
      </c>
      <c r="Q688" s="125">
        <v>3.3</v>
      </c>
      <c r="R688" s="125">
        <v>3.3</v>
      </c>
      <c r="T688" s="230"/>
    </row>
    <row r="689" spans="1:20" ht="31.5">
      <c r="A689" s="50"/>
      <c r="B689" s="49"/>
      <c r="C689" s="54"/>
      <c r="D689" s="52"/>
      <c r="E689" s="55"/>
      <c r="F689" s="55"/>
      <c r="G689" s="40"/>
      <c r="H689" s="20" t="s">
        <v>268</v>
      </c>
      <c r="I689" s="7">
        <v>672</v>
      </c>
      <c r="J689" s="12">
        <v>7</v>
      </c>
      <c r="K689" s="12">
        <v>2</v>
      </c>
      <c r="L689" s="46" t="s">
        <v>223</v>
      </c>
      <c r="M689" s="47" t="s">
        <v>222</v>
      </c>
      <c r="N689" s="47" t="s">
        <v>233</v>
      </c>
      <c r="O689" s="47" t="s">
        <v>240</v>
      </c>
      <c r="P689" s="3"/>
      <c r="Q689" s="125">
        <f>Q690</f>
        <v>22.9</v>
      </c>
      <c r="R689" s="125">
        <f>R690</f>
        <v>22.9</v>
      </c>
      <c r="T689" s="230"/>
    </row>
    <row r="690" spans="1:20" ht="18.75">
      <c r="A690" s="50"/>
      <c r="B690" s="49"/>
      <c r="C690" s="54"/>
      <c r="D690" s="52"/>
      <c r="E690" s="55"/>
      <c r="F690" s="55"/>
      <c r="G690" s="40"/>
      <c r="H690" s="246" t="s">
        <v>60</v>
      </c>
      <c r="I690" s="7">
        <v>672</v>
      </c>
      <c r="J690" s="12">
        <v>7</v>
      </c>
      <c r="K690" s="12">
        <v>2</v>
      </c>
      <c r="L690" s="46" t="s">
        <v>223</v>
      </c>
      <c r="M690" s="47" t="s">
        <v>222</v>
      </c>
      <c r="N690" s="47" t="s">
        <v>233</v>
      </c>
      <c r="O690" s="47" t="s">
        <v>53</v>
      </c>
      <c r="P690" s="3"/>
      <c r="Q690" s="125">
        <f>Q691</f>
        <v>22.9</v>
      </c>
      <c r="R690" s="125">
        <f>R691</f>
        <v>22.9</v>
      </c>
      <c r="T690" s="230"/>
    </row>
    <row r="691" spans="1:20" ht="18.75">
      <c r="A691" s="50"/>
      <c r="B691" s="49"/>
      <c r="C691" s="54"/>
      <c r="D691" s="52"/>
      <c r="E691" s="55"/>
      <c r="F691" s="55"/>
      <c r="G691" s="40"/>
      <c r="H691" s="257" t="s">
        <v>279</v>
      </c>
      <c r="I691" s="7">
        <v>672</v>
      </c>
      <c r="J691" s="12">
        <v>7</v>
      </c>
      <c r="K691" s="12">
        <v>2</v>
      </c>
      <c r="L691" s="46" t="s">
        <v>223</v>
      </c>
      <c r="M691" s="47" t="s">
        <v>222</v>
      </c>
      <c r="N691" s="47" t="s">
        <v>233</v>
      </c>
      <c r="O691" s="47" t="s">
        <v>53</v>
      </c>
      <c r="P691" s="3">
        <v>610</v>
      </c>
      <c r="Q691" s="125">
        <v>22.9</v>
      </c>
      <c r="R691" s="125">
        <v>22.9</v>
      </c>
      <c r="T691" s="230"/>
    </row>
    <row r="692" spans="1:20" ht="31.5">
      <c r="A692" s="50"/>
      <c r="B692" s="49"/>
      <c r="C692" s="54"/>
      <c r="D692" s="52"/>
      <c r="E692" s="55"/>
      <c r="F692" s="55"/>
      <c r="G692" s="40"/>
      <c r="H692" s="20" t="s">
        <v>2</v>
      </c>
      <c r="I692" s="7">
        <v>672</v>
      </c>
      <c r="J692" s="12">
        <v>7</v>
      </c>
      <c r="K692" s="12">
        <v>2</v>
      </c>
      <c r="L692" s="46" t="s">
        <v>223</v>
      </c>
      <c r="M692" s="47" t="s">
        <v>222</v>
      </c>
      <c r="N692" s="47" t="s">
        <v>225</v>
      </c>
      <c r="O692" s="47" t="s">
        <v>240</v>
      </c>
      <c r="P692" s="3"/>
      <c r="Q692" s="125">
        <f>Q693</f>
        <v>166.4</v>
      </c>
      <c r="R692" s="125">
        <f>R693</f>
        <v>166.4</v>
      </c>
      <c r="T692" s="230"/>
    </row>
    <row r="693" spans="1:20" ht="18.75">
      <c r="A693" s="50"/>
      <c r="B693" s="49"/>
      <c r="C693" s="54"/>
      <c r="D693" s="52"/>
      <c r="E693" s="55"/>
      <c r="F693" s="55"/>
      <c r="G693" s="40"/>
      <c r="H693" s="246" t="s">
        <v>60</v>
      </c>
      <c r="I693" s="7">
        <v>672</v>
      </c>
      <c r="J693" s="12">
        <v>7</v>
      </c>
      <c r="K693" s="12">
        <v>2</v>
      </c>
      <c r="L693" s="46" t="s">
        <v>223</v>
      </c>
      <c r="M693" s="47" t="s">
        <v>222</v>
      </c>
      <c r="N693" s="47" t="s">
        <v>225</v>
      </c>
      <c r="O693" s="47" t="s">
        <v>53</v>
      </c>
      <c r="P693" s="3"/>
      <c r="Q693" s="125">
        <f>Q694</f>
        <v>166.4</v>
      </c>
      <c r="R693" s="125">
        <f>R694</f>
        <v>166.4</v>
      </c>
      <c r="T693" s="230"/>
    </row>
    <row r="694" spans="1:20" ht="18.75">
      <c r="A694" s="50"/>
      <c r="B694" s="49"/>
      <c r="C694" s="54"/>
      <c r="D694" s="52"/>
      <c r="E694" s="55"/>
      <c r="F694" s="55"/>
      <c r="G694" s="40"/>
      <c r="H694" s="257" t="s">
        <v>279</v>
      </c>
      <c r="I694" s="7">
        <v>672</v>
      </c>
      <c r="J694" s="12">
        <v>7</v>
      </c>
      <c r="K694" s="12">
        <v>2</v>
      </c>
      <c r="L694" s="46" t="s">
        <v>223</v>
      </c>
      <c r="M694" s="47" t="s">
        <v>222</v>
      </c>
      <c r="N694" s="47" t="s">
        <v>225</v>
      </c>
      <c r="O694" s="47" t="s">
        <v>53</v>
      </c>
      <c r="P694" s="3">
        <v>610</v>
      </c>
      <c r="Q694" s="125">
        <f>50.3+65+30.5+20.6</f>
        <v>166.4</v>
      </c>
      <c r="R694" s="125">
        <v>166.4</v>
      </c>
      <c r="T694" s="230"/>
    </row>
    <row r="695" spans="1:20" ht="31.5">
      <c r="A695" s="50"/>
      <c r="B695" s="49"/>
      <c r="C695" s="54"/>
      <c r="D695" s="52"/>
      <c r="E695" s="55"/>
      <c r="F695" s="55"/>
      <c r="G695" s="40"/>
      <c r="H695" s="20" t="s">
        <v>676</v>
      </c>
      <c r="I695" s="7">
        <v>672</v>
      </c>
      <c r="J695" s="12">
        <v>7</v>
      </c>
      <c r="K695" s="12">
        <v>2</v>
      </c>
      <c r="L695" s="46" t="s">
        <v>233</v>
      </c>
      <c r="M695" s="47" t="s">
        <v>222</v>
      </c>
      <c r="N695" s="47" t="s">
        <v>231</v>
      </c>
      <c r="O695" s="47" t="s">
        <v>240</v>
      </c>
      <c r="P695" s="3"/>
      <c r="Q695" s="125">
        <f>Q696+Q715+Q710+Q707</f>
        <v>230463.8</v>
      </c>
      <c r="R695" s="125">
        <f>R696+R715+R710+R707</f>
        <v>228822.89999999997</v>
      </c>
      <c r="T695" s="230"/>
    </row>
    <row r="696" spans="1:20" ht="18.75">
      <c r="A696" s="50"/>
      <c r="B696" s="49"/>
      <c r="C696" s="54"/>
      <c r="D696" s="52"/>
      <c r="E696" s="55"/>
      <c r="F696" s="55"/>
      <c r="G696" s="40"/>
      <c r="H696" s="2" t="s">
        <v>250</v>
      </c>
      <c r="I696" s="9">
        <v>672</v>
      </c>
      <c r="J696" s="4">
        <v>7</v>
      </c>
      <c r="K696" s="12">
        <v>2</v>
      </c>
      <c r="L696" s="46" t="s">
        <v>233</v>
      </c>
      <c r="M696" s="47" t="s">
        <v>222</v>
      </c>
      <c r="N696" s="47" t="s">
        <v>234</v>
      </c>
      <c r="O696" s="47" t="s">
        <v>240</v>
      </c>
      <c r="P696" s="3"/>
      <c r="Q696" s="125">
        <f>Q697+Q699+Q701+Q703+Q705</f>
        <v>206468</v>
      </c>
      <c r="R696" s="125">
        <f>R697+R699+R701+R703+R705</f>
        <v>206467.99999999997</v>
      </c>
      <c r="T696" s="230"/>
    </row>
    <row r="697" spans="1:20" ht="18.75">
      <c r="A697" s="50"/>
      <c r="B697" s="49"/>
      <c r="C697" s="54"/>
      <c r="D697" s="52"/>
      <c r="E697" s="55"/>
      <c r="F697" s="55"/>
      <c r="G697" s="40"/>
      <c r="H697" s="2" t="s">
        <v>60</v>
      </c>
      <c r="I697" s="9">
        <v>672</v>
      </c>
      <c r="J697" s="4">
        <v>7</v>
      </c>
      <c r="K697" s="12">
        <v>2</v>
      </c>
      <c r="L697" s="46" t="s">
        <v>233</v>
      </c>
      <c r="M697" s="47" t="s">
        <v>222</v>
      </c>
      <c r="N697" s="47" t="s">
        <v>234</v>
      </c>
      <c r="O697" s="47" t="s">
        <v>53</v>
      </c>
      <c r="P697" s="3"/>
      <c r="Q697" s="125">
        <f>Q698</f>
        <v>46217.2</v>
      </c>
      <c r="R697" s="125">
        <f>R698</f>
        <v>46217.2</v>
      </c>
      <c r="T697" s="230"/>
    </row>
    <row r="698" spans="1:20" ht="18.75">
      <c r="A698" s="50"/>
      <c r="B698" s="49"/>
      <c r="C698" s="54"/>
      <c r="D698" s="52"/>
      <c r="E698" s="55"/>
      <c r="F698" s="55"/>
      <c r="G698" s="40"/>
      <c r="H698" s="20" t="s">
        <v>279</v>
      </c>
      <c r="I698" s="9">
        <v>672</v>
      </c>
      <c r="J698" s="4">
        <v>7</v>
      </c>
      <c r="K698" s="12">
        <v>2</v>
      </c>
      <c r="L698" s="46" t="s">
        <v>233</v>
      </c>
      <c r="M698" s="47" t="s">
        <v>222</v>
      </c>
      <c r="N698" s="47" t="s">
        <v>234</v>
      </c>
      <c r="O698" s="47" t="s">
        <v>53</v>
      </c>
      <c r="P698" s="3">
        <v>610</v>
      </c>
      <c r="Q698" s="125">
        <f>43110.5+7.5+30.1+6.3+386.2+2285+35.8+4.2+15.2+321.5+7.9+7</f>
        <v>46217.2</v>
      </c>
      <c r="R698" s="125">
        <v>46217.2</v>
      </c>
      <c r="T698" s="230"/>
    </row>
    <row r="699" spans="1:20" ht="78.75">
      <c r="A699" s="50"/>
      <c r="B699" s="49"/>
      <c r="C699" s="54"/>
      <c r="D699" s="52"/>
      <c r="E699" s="55"/>
      <c r="F699" s="55"/>
      <c r="G699" s="40"/>
      <c r="H699" s="2" t="s">
        <v>438</v>
      </c>
      <c r="I699" s="9">
        <v>672</v>
      </c>
      <c r="J699" s="4">
        <v>7</v>
      </c>
      <c r="K699" s="12">
        <v>2</v>
      </c>
      <c r="L699" s="46" t="s">
        <v>233</v>
      </c>
      <c r="M699" s="47" t="s">
        <v>222</v>
      </c>
      <c r="N699" s="47" t="s">
        <v>234</v>
      </c>
      <c r="O699" s="47" t="s">
        <v>437</v>
      </c>
      <c r="P699" s="3"/>
      <c r="Q699" s="125">
        <f>Q700</f>
        <v>8403.099999999999</v>
      </c>
      <c r="R699" s="125">
        <f>R700</f>
        <v>8403.1</v>
      </c>
      <c r="T699" s="230"/>
    </row>
    <row r="700" spans="1:20" ht="18.75">
      <c r="A700" s="50"/>
      <c r="B700" s="49"/>
      <c r="C700" s="54"/>
      <c r="D700" s="52"/>
      <c r="E700" s="55"/>
      <c r="F700" s="55"/>
      <c r="G700" s="40"/>
      <c r="H700" s="20" t="s">
        <v>279</v>
      </c>
      <c r="I700" s="9">
        <v>672</v>
      </c>
      <c r="J700" s="4">
        <v>7</v>
      </c>
      <c r="K700" s="12">
        <v>2</v>
      </c>
      <c r="L700" s="46" t="s">
        <v>233</v>
      </c>
      <c r="M700" s="47" t="s">
        <v>222</v>
      </c>
      <c r="N700" s="47" t="s">
        <v>234</v>
      </c>
      <c r="O700" s="47" t="s">
        <v>437</v>
      </c>
      <c r="P700" s="3">
        <v>610</v>
      </c>
      <c r="Q700" s="125">
        <f>9253.3-850.2</f>
        <v>8403.099999999999</v>
      </c>
      <c r="R700" s="125">
        <v>8403.1</v>
      </c>
      <c r="T700" s="230"/>
    </row>
    <row r="701" spans="1:20" ht="31.5">
      <c r="A701" s="50"/>
      <c r="B701" s="49"/>
      <c r="C701" s="54"/>
      <c r="D701" s="52"/>
      <c r="E701" s="55"/>
      <c r="F701" s="55"/>
      <c r="G701" s="40"/>
      <c r="H701" s="20" t="s">
        <v>353</v>
      </c>
      <c r="I701" s="9">
        <v>672</v>
      </c>
      <c r="J701" s="4">
        <v>7</v>
      </c>
      <c r="K701" s="12">
        <v>2</v>
      </c>
      <c r="L701" s="46" t="s">
        <v>233</v>
      </c>
      <c r="M701" s="47" t="s">
        <v>222</v>
      </c>
      <c r="N701" s="47" t="s">
        <v>234</v>
      </c>
      <c r="O701" s="47" t="s">
        <v>352</v>
      </c>
      <c r="P701" s="3"/>
      <c r="Q701" s="125">
        <f>Q702</f>
        <v>15900</v>
      </c>
      <c r="R701" s="125">
        <f>R702</f>
        <v>15900</v>
      </c>
      <c r="T701" s="230"/>
    </row>
    <row r="702" spans="1:20" ht="18.75">
      <c r="A702" s="50"/>
      <c r="B702" s="49"/>
      <c r="C702" s="54"/>
      <c r="D702" s="52"/>
      <c r="E702" s="55"/>
      <c r="F702" s="55"/>
      <c r="G702" s="40"/>
      <c r="H702" s="20" t="s">
        <v>279</v>
      </c>
      <c r="I702" s="9">
        <v>672</v>
      </c>
      <c r="J702" s="4">
        <v>7</v>
      </c>
      <c r="K702" s="12">
        <v>2</v>
      </c>
      <c r="L702" s="46" t="s">
        <v>233</v>
      </c>
      <c r="M702" s="47" t="s">
        <v>222</v>
      </c>
      <c r="N702" s="47" t="s">
        <v>234</v>
      </c>
      <c r="O702" s="47" t="s">
        <v>352</v>
      </c>
      <c r="P702" s="3">
        <v>610</v>
      </c>
      <c r="Q702" s="125">
        <v>15900</v>
      </c>
      <c r="R702" s="125">
        <v>15900</v>
      </c>
      <c r="T702" s="230"/>
    </row>
    <row r="703" spans="1:20" ht="31.5">
      <c r="A703" s="50"/>
      <c r="B703" s="49"/>
      <c r="C703" s="54"/>
      <c r="D703" s="52"/>
      <c r="E703" s="55"/>
      <c r="F703" s="55"/>
      <c r="G703" s="40"/>
      <c r="H703" s="2" t="s">
        <v>59</v>
      </c>
      <c r="I703" s="9">
        <v>672</v>
      </c>
      <c r="J703" s="4">
        <v>7</v>
      </c>
      <c r="K703" s="12">
        <v>2</v>
      </c>
      <c r="L703" s="46" t="s">
        <v>233</v>
      </c>
      <c r="M703" s="47" t="s">
        <v>222</v>
      </c>
      <c r="N703" s="47" t="s">
        <v>234</v>
      </c>
      <c r="O703" s="47" t="s">
        <v>58</v>
      </c>
      <c r="P703" s="3"/>
      <c r="Q703" s="125">
        <f>Q704</f>
        <v>126685.90000000001</v>
      </c>
      <c r="R703" s="125">
        <f>R704</f>
        <v>126685.9</v>
      </c>
      <c r="T703" s="230"/>
    </row>
    <row r="704" spans="1:20" ht="18.75">
      <c r="A704" s="50"/>
      <c r="B704" s="49"/>
      <c r="C704" s="54"/>
      <c r="D704" s="52"/>
      <c r="E704" s="55"/>
      <c r="F704" s="55"/>
      <c r="G704" s="40"/>
      <c r="H704" s="20" t="s">
        <v>279</v>
      </c>
      <c r="I704" s="9">
        <v>672</v>
      </c>
      <c r="J704" s="4">
        <v>7</v>
      </c>
      <c r="K704" s="12">
        <v>2</v>
      </c>
      <c r="L704" s="46" t="s">
        <v>233</v>
      </c>
      <c r="M704" s="47" t="s">
        <v>222</v>
      </c>
      <c r="N704" s="47" t="s">
        <v>234</v>
      </c>
      <c r="O704" s="47" t="s">
        <v>58</v>
      </c>
      <c r="P704" s="3">
        <v>610</v>
      </c>
      <c r="Q704" s="125">
        <f>123233.9+2304.7+0.1+0.1+0.1+1143.5+3.5</f>
        <v>126685.90000000001</v>
      </c>
      <c r="R704" s="125">
        <v>126685.9</v>
      </c>
      <c r="T704" s="230"/>
    </row>
    <row r="705" spans="1:20" ht="31.5">
      <c r="A705" s="50"/>
      <c r="B705" s="49"/>
      <c r="C705" s="54"/>
      <c r="D705" s="52"/>
      <c r="E705" s="55"/>
      <c r="F705" s="55"/>
      <c r="G705" s="40"/>
      <c r="H705" s="20" t="s">
        <v>439</v>
      </c>
      <c r="I705" s="9">
        <v>672</v>
      </c>
      <c r="J705" s="4">
        <v>7</v>
      </c>
      <c r="K705" s="12">
        <v>2</v>
      </c>
      <c r="L705" s="46" t="s">
        <v>233</v>
      </c>
      <c r="M705" s="47" t="s">
        <v>222</v>
      </c>
      <c r="N705" s="47" t="s">
        <v>234</v>
      </c>
      <c r="O705" s="47" t="s">
        <v>335</v>
      </c>
      <c r="P705" s="3"/>
      <c r="Q705" s="125">
        <f>Q706</f>
        <v>9261.8</v>
      </c>
      <c r="R705" s="125">
        <f>R706</f>
        <v>9261.8</v>
      </c>
      <c r="T705" s="230"/>
    </row>
    <row r="706" spans="1:20" ht="18.75">
      <c r="A706" s="50"/>
      <c r="B706" s="49"/>
      <c r="C706" s="54"/>
      <c r="D706" s="52"/>
      <c r="E706" s="55"/>
      <c r="F706" s="55"/>
      <c r="G706" s="40"/>
      <c r="H706" s="20" t="s">
        <v>279</v>
      </c>
      <c r="I706" s="9">
        <v>672</v>
      </c>
      <c r="J706" s="4">
        <v>7</v>
      </c>
      <c r="K706" s="12">
        <v>2</v>
      </c>
      <c r="L706" s="46" t="s">
        <v>233</v>
      </c>
      <c r="M706" s="47" t="s">
        <v>222</v>
      </c>
      <c r="N706" s="47" t="s">
        <v>234</v>
      </c>
      <c r="O706" s="47" t="s">
        <v>335</v>
      </c>
      <c r="P706" s="3">
        <v>610</v>
      </c>
      <c r="Q706" s="125">
        <v>9261.8</v>
      </c>
      <c r="R706" s="125">
        <v>9261.8</v>
      </c>
      <c r="T706" s="230"/>
    </row>
    <row r="707" spans="1:20" ht="18.75">
      <c r="A707" s="50"/>
      <c r="B707" s="49"/>
      <c r="C707" s="54"/>
      <c r="D707" s="52"/>
      <c r="E707" s="55"/>
      <c r="F707" s="55"/>
      <c r="G707" s="40"/>
      <c r="H707" s="20" t="s">
        <v>679</v>
      </c>
      <c r="I707" s="9">
        <v>672</v>
      </c>
      <c r="J707" s="4">
        <v>7</v>
      </c>
      <c r="K707" s="12">
        <v>2</v>
      </c>
      <c r="L707" s="46" t="s">
        <v>233</v>
      </c>
      <c r="M707" s="47" t="s">
        <v>222</v>
      </c>
      <c r="N707" s="47" t="s">
        <v>235</v>
      </c>
      <c r="O707" s="47" t="s">
        <v>240</v>
      </c>
      <c r="P707" s="3"/>
      <c r="Q707" s="125">
        <f>Q708</f>
        <v>153.5</v>
      </c>
      <c r="R707" s="125">
        <f>R708</f>
        <v>153.5</v>
      </c>
      <c r="T707" s="230"/>
    </row>
    <row r="708" spans="1:20" s="111" customFormat="1" ht="18.75">
      <c r="A708" s="81"/>
      <c r="B708" s="82"/>
      <c r="C708" s="92"/>
      <c r="D708" s="89"/>
      <c r="E708" s="84"/>
      <c r="F708" s="84"/>
      <c r="G708" s="75"/>
      <c r="H708" s="2" t="s">
        <v>60</v>
      </c>
      <c r="I708" s="9">
        <v>672</v>
      </c>
      <c r="J708" s="4">
        <v>7</v>
      </c>
      <c r="K708" s="12">
        <v>2</v>
      </c>
      <c r="L708" s="46" t="s">
        <v>233</v>
      </c>
      <c r="M708" s="47" t="s">
        <v>222</v>
      </c>
      <c r="N708" s="47" t="s">
        <v>235</v>
      </c>
      <c r="O708" s="47" t="s">
        <v>53</v>
      </c>
      <c r="P708" s="3"/>
      <c r="Q708" s="125">
        <f>Q709</f>
        <v>153.5</v>
      </c>
      <c r="R708" s="125">
        <f>R709</f>
        <v>153.5</v>
      </c>
      <c r="S708" s="283"/>
      <c r="T708" s="230"/>
    </row>
    <row r="709" spans="1:20" s="111" customFormat="1" ht="18.75">
      <c r="A709" s="81"/>
      <c r="B709" s="82"/>
      <c r="C709" s="92"/>
      <c r="D709" s="89"/>
      <c r="E709" s="354">
        <v>3150300</v>
      </c>
      <c r="F709" s="354"/>
      <c r="G709" s="75">
        <v>850</v>
      </c>
      <c r="H709" s="20" t="s">
        <v>279</v>
      </c>
      <c r="I709" s="9">
        <v>672</v>
      </c>
      <c r="J709" s="4">
        <v>7</v>
      </c>
      <c r="K709" s="12">
        <v>2</v>
      </c>
      <c r="L709" s="46" t="s">
        <v>233</v>
      </c>
      <c r="M709" s="47" t="s">
        <v>222</v>
      </c>
      <c r="N709" s="47" t="s">
        <v>235</v>
      </c>
      <c r="O709" s="47" t="s">
        <v>53</v>
      </c>
      <c r="P709" s="3">
        <v>610</v>
      </c>
      <c r="Q709" s="125">
        <f>50.5+9+36+30.1+2.5+17.8+4.5-0.9+4</f>
        <v>153.5</v>
      </c>
      <c r="R709" s="125">
        <v>153.5</v>
      </c>
      <c r="S709" s="283"/>
      <c r="T709" s="230"/>
    </row>
    <row r="710" spans="1:20" ht="18.75">
      <c r="A710" s="50"/>
      <c r="B710" s="49"/>
      <c r="C710" s="54"/>
      <c r="D710" s="52"/>
      <c r="E710" s="355">
        <v>5221300</v>
      </c>
      <c r="F710" s="355"/>
      <c r="G710" s="40">
        <v>410</v>
      </c>
      <c r="H710" s="20" t="s">
        <v>312</v>
      </c>
      <c r="I710" s="9">
        <v>672</v>
      </c>
      <c r="J710" s="4">
        <v>7</v>
      </c>
      <c r="K710" s="12">
        <v>2</v>
      </c>
      <c r="L710" s="46" t="s">
        <v>233</v>
      </c>
      <c r="M710" s="47" t="s">
        <v>222</v>
      </c>
      <c r="N710" s="47" t="s">
        <v>225</v>
      </c>
      <c r="O710" s="47" t="s">
        <v>240</v>
      </c>
      <c r="P710" s="3"/>
      <c r="Q710" s="125">
        <f>Q711+Q713</f>
        <v>23089.9</v>
      </c>
      <c r="R710" s="125">
        <f>R711+R713</f>
        <v>21449</v>
      </c>
      <c r="T710" s="230"/>
    </row>
    <row r="711" spans="1:20" ht="18.75">
      <c r="A711" s="50"/>
      <c r="B711" s="49"/>
      <c r="C711" s="54"/>
      <c r="D711" s="52"/>
      <c r="E711" s="55"/>
      <c r="F711" s="55"/>
      <c r="G711" s="40"/>
      <c r="H711" s="2" t="s">
        <v>60</v>
      </c>
      <c r="I711" s="9">
        <v>672</v>
      </c>
      <c r="J711" s="4">
        <v>7</v>
      </c>
      <c r="K711" s="12">
        <v>2</v>
      </c>
      <c r="L711" s="46" t="s">
        <v>233</v>
      </c>
      <c r="M711" s="47" t="s">
        <v>222</v>
      </c>
      <c r="N711" s="47" t="s">
        <v>225</v>
      </c>
      <c r="O711" s="47" t="s">
        <v>53</v>
      </c>
      <c r="P711" s="3"/>
      <c r="Q711" s="125">
        <f>Q712</f>
        <v>3385.3999999999987</v>
      </c>
      <c r="R711" s="125">
        <f>R712</f>
        <v>3385.4</v>
      </c>
      <c r="T711" s="230"/>
    </row>
    <row r="712" spans="1:20" ht="18.75">
      <c r="A712" s="50"/>
      <c r="B712" s="49"/>
      <c r="C712" s="54"/>
      <c r="D712" s="52"/>
      <c r="E712" s="55"/>
      <c r="F712" s="55"/>
      <c r="G712" s="40"/>
      <c r="H712" s="20" t="s">
        <v>279</v>
      </c>
      <c r="I712" s="9">
        <v>672</v>
      </c>
      <c r="J712" s="4">
        <v>7</v>
      </c>
      <c r="K712" s="12">
        <v>2</v>
      </c>
      <c r="L712" s="46" t="s">
        <v>233</v>
      </c>
      <c r="M712" s="47" t="s">
        <v>222</v>
      </c>
      <c r="N712" s="47" t="s">
        <v>225</v>
      </c>
      <c r="O712" s="47" t="s">
        <v>53</v>
      </c>
      <c r="P712" s="3">
        <v>610</v>
      </c>
      <c r="Q712" s="125">
        <f>18784.6+3200-422+155.7+128+7-18940.2+465.3+7</f>
        <v>3385.3999999999987</v>
      </c>
      <c r="R712" s="125">
        <v>3385.4</v>
      </c>
      <c r="T712" s="230"/>
    </row>
    <row r="713" spans="1:20" ht="31.5">
      <c r="A713" s="50"/>
      <c r="B713" s="49"/>
      <c r="C713" s="54"/>
      <c r="D713" s="52"/>
      <c r="E713" s="55"/>
      <c r="F713" s="55"/>
      <c r="G713" s="40"/>
      <c r="H713" s="20" t="s">
        <v>677</v>
      </c>
      <c r="I713" s="7">
        <v>672</v>
      </c>
      <c r="J713" s="12">
        <v>7</v>
      </c>
      <c r="K713" s="12">
        <v>2</v>
      </c>
      <c r="L713" s="46" t="s">
        <v>233</v>
      </c>
      <c r="M713" s="47" t="s">
        <v>222</v>
      </c>
      <c r="N713" s="47" t="s">
        <v>225</v>
      </c>
      <c r="O713" s="47" t="s">
        <v>678</v>
      </c>
      <c r="P713" s="3"/>
      <c r="Q713" s="125">
        <f>Q714</f>
        <v>19704.500000000004</v>
      </c>
      <c r="R713" s="125">
        <f>R714</f>
        <v>18063.6</v>
      </c>
      <c r="T713" s="230"/>
    </row>
    <row r="714" spans="1:20" ht="18.75">
      <c r="A714" s="50"/>
      <c r="B714" s="49"/>
      <c r="C714" s="54"/>
      <c r="D714" s="52"/>
      <c r="E714" s="55"/>
      <c r="F714" s="55"/>
      <c r="G714" s="40"/>
      <c r="H714" s="20" t="s">
        <v>279</v>
      </c>
      <c r="I714" s="7">
        <v>672</v>
      </c>
      <c r="J714" s="12">
        <v>7</v>
      </c>
      <c r="K714" s="12">
        <v>2</v>
      </c>
      <c r="L714" s="46" t="s">
        <v>233</v>
      </c>
      <c r="M714" s="47" t="s">
        <v>222</v>
      </c>
      <c r="N714" s="47" t="s">
        <v>225</v>
      </c>
      <c r="O714" s="47" t="s">
        <v>678</v>
      </c>
      <c r="P714" s="3">
        <v>610</v>
      </c>
      <c r="Q714" s="125">
        <f>18940.2-343.6+1107.9</f>
        <v>19704.500000000004</v>
      </c>
      <c r="R714" s="125">
        <v>18063.6</v>
      </c>
      <c r="T714" s="230"/>
    </row>
    <row r="715" spans="1:20" s="172" customFormat="1" ht="30">
      <c r="A715" s="351">
        <v>17</v>
      </c>
      <c r="B715" s="351"/>
      <c r="C715" s="351"/>
      <c r="D715" s="351"/>
      <c r="E715" s="351"/>
      <c r="F715" s="351"/>
      <c r="G715" s="71">
        <v>240</v>
      </c>
      <c r="H715" s="267" t="s">
        <v>479</v>
      </c>
      <c r="I715" s="3">
        <v>672</v>
      </c>
      <c r="J715" s="4">
        <v>7</v>
      </c>
      <c r="K715" s="12">
        <v>2</v>
      </c>
      <c r="L715" s="46" t="s">
        <v>233</v>
      </c>
      <c r="M715" s="47" t="s">
        <v>222</v>
      </c>
      <c r="N715" s="47" t="s">
        <v>484</v>
      </c>
      <c r="O715" s="47" t="s">
        <v>240</v>
      </c>
      <c r="P715" s="3"/>
      <c r="Q715" s="125">
        <f>Q716</f>
        <v>752.4</v>
      </c>
      <c r="R715" s="125">
        <f>R716</f>
        <v>752.4</v>
      </c>
      <c r="S715" s="286"/>
      <c r="T715" s="230"/>
    </row>
    <row r="716" spans="1:20" s="111" customFormat="1" ht="30">
      <c r="A716" s="356">
        <v>100</v>
      </c>
      <c r="B716" s="356"/>
      <c r="C716" s="357"/>
      <c r="D716" s="357"/>
      <c r="E716" s="357"/>
      <c r="F716" s="357"/>
      <c r="G716" s="75">
        <v>240</v>
      </c>
      <c r="H716" s="268" t="s">
        <v>680</v>
      </c>
      <c r="I716" s="3">
        <v>672</v>
      </c>
      <c r="J716" s="4">
        <v>7</v>
      </c>
      <c r="K716" s="12">
        <v>2</v>
      </c>
      <c r="L716" s="46" t="s">
        <v>233</v>
      </c>
      <c r="M716" s="47" t="s">
        <v>222</v>
      </c>
      <c r="N716" s="47" t="s">
        <v>484</v>
      </c>
      <c r="O716" s="47" t="s">
        <v>681</v>
      </c>
      <c r="P716" s="3"/>
      <c r="Q716" s="125">
        <f>Q717</f>
        <v>752.4</v>
      </c>
      <c r="R716" s="125">
        <f>R717</f>
        <v>752.4</v>
      </c>
      <c r="S716" s="283"/>
      <c r="T716" s="230"/>
    </row>
    <row r="717" spans="1:20" s="111" customFormat="1" ht="18.75">
      <c r="A717" s="81"/>
      <c r="B717" s="82"/>
      <c r="C717" s="356">
        <v>113</v>
      </c>
      <c r="D717" s="357"/>
      <c r="E717" s="357"/>
      <c r="F717" s="357"/>
      <c r="G717" s="75">
        <v>240</v>
      </c>
      <c r="H717" s="2" t="s">
        <v>279</v>
      </c>
      <c r="I717" s="3">
        <v>672</v>
      </c>
      <c r="J717" s="4">
        <v>7</v>
      </c>
      <c r="K717" s="12">
        <v>2</v>
      </c>
      <c r="L717" s="46" t="s">
        <v>233</v>
      </c>
      <c r="M717" s="47" t="s">
        <v>222</v>
      </c>
      <c r="N717" s="47" t="s">
        <v>484</v>
      </c>
      <c r="O717" s="47" t="s">
        <v>681</v>
      </c>
      <c r="P717" s="3">
        <v>610</v>
      </c>
      <c r="Q717" s="125">
        <v>752.4</v>
      </c>
      <c r="R717" s="125">
        <v>752.4</v>
      </c>
      <c r="S717" s="283"/>
      <c r="T717" s="230"/>
    </row>
    <row r="718" spans="1:20" ht="31.5">
      <c r="A718" s="48"/>
      <c r="B718" s="49"/>
      <c r="C718" s="48"/>
      <c r="D718" s="62"/>
      <c r="E718" s="65"/>
      <c r="F718" s="65"/>
      <c r="G718" s="40"/>
      <c r="H718" s="2" t="s">
        <v>682</v>
      </c>
      <c r="I718" s="9">
        <v>672</v>
      </c>
      <c r="J718" s="4">
        <v>7</v>
      </c>
      <c r="K718" s="12">
        <v>2</v>
      </c>
      <c r="L718" s="46" t="s">
        <v>565</v>
      </c>
      <c r="M718" s="47" t="s">
        <v>222</v>
      </c>
      <c r="N718" s="47" t="s">
        <v>231</v>
      </c>
      <c r="O718" s="47" t="s">
        <v>240</v>
      </c>
      <c r="P718" s="3"/>
      <c r="Q718" s="125">
        <f aca="true" t="shared" si="32" ref="Q718:R720">Q719</f>
        <v>17.9</v>
      </c>
      <c r="R718" s="125">
        <f t="shared" si="32"/>
        <v>17.9</v>
      </c>
      <c r="T718" s="230"/>
    </row>
    <row r="719" spans="1:20" ht="31.5">
      <c r="A719" s="50"/>
      <c r="B719" s="49"/>
      <c r="C719" s="48"/>
      <c r="D719" s="60"/>
      <c r="E719" s="55"/>
      <c r="F719" s="55"/>
      <c r="G719" s="40"/>
      <c r="H719" s="20" t="s">
        <v>370</v>
      </c>
      <c r="I719" s="9">
        <v>672</v>
      </c>
      <c r="J719" s="4">
        <v>7</v>
      </c>
      <c r="K719" s="12">
        <v>2</v>
      </c>
      <c r="L719" s="46" t="s">
        <v>565</v>
      </c>
      <c r="M719" s="47" t="s">
        <v>222</v>
      </c>
      <c r="N719" s="47" t="s">
        <v>234</v>
      </c>
      <c r="O719" s="47" t="s">
        <v>240</v>
      </c>
      <c r="P719" s="3"/>
      <c r="Q719" s="125">
        <f t="shared" si="32"/>
        <v>17.9</v>
      </c>
      <c r="R719" s="125">
        <f t="shared" si="32"/>
        <v>17.9</v>
      </c>
      <c r="T719" s="230"/>
    </row>
    <row r="720" spans="1:20" ht="18.75">
      <c r="A720" s="50"/>
      <c r="B720" s="49"/>
      <c r="C720" s="48"/>
      <c r="D720" s="60"/>
      <c r="E720" s="55"/>
      <c r="F720" s="55"/>
      <c r="G720" s="40"/>
      <c r="H720" s="20" t="s">
        <v>371</v>
      </c>
      <c r="I720" s="9">
        <v>672</v>
      </c>
      <c r="J720" s="4">
        <v>7</v>
      </c>
      <c r="K720" s="12">
        <v>2</v>
      </c>
      <c r="L720" s="46" t="s">
        <v>565</v>
      </c>
      <c r="M720" s="47" t="s">
        <v>222</v>
      </c>
      <c r="N720" s="47" t="s">
        <v>234</v>
      </c>
      <c r="O720" s="47" t="s">
        <v>4</v>
      </c>
      <c r="P720" s="3"/>
      <c r="Q720" s="125">
        <f t="shared" si="32"/>
        <v>17.9</v>
      </c>
      <c r="R720" s="125">
        <f t="shared" si="32"/>
        <v>17.9</v>
      </c>
      <c r="T720" s="230"/>
    </row>
    <row r="721" spans="1:20" ht="18.75">
      <c r="A721" s="50"/>
      <c r="B721" s="49"/>
      <c r="C721" s="48"/>
      <c r="D721" s="60"/>
      <c r="E721" s="55"/>
      <c r="F721" s="55"/>
      <c r="G721" s="40"/>
      <c r="H721" s="2" t="s">
        <v>279</v>
      </c>
      <c r="I721" s="9">
        <v>672</v>
      </c>
      <c r="J721" s="4">
        <v>7</v>
      </c>
      <c r="K721" s="12">
        <v>2</v>
      </c>
      <c r="L721" s="46" t="s">
        <v>565</v>
      </c>
      <c r="M721" s="47" t="s">
        <v>222</v>
      </c>
      <c r="N721" s="47" t="s">
        <v>234</v>
      </c>
      <c r="O721" s="47" t="s">
        <v>4</v>
      </c>
      <c r="P721" s="3">
        <v>610</v>
      </c>
      <c r="Q721" s="125">
        <v>17.9</v>
      </c>
      <c r="R721" s="125">
        <v>17.9</v>
      </c>
      <c r="T721" s="230"/>
    </row>
    <row r="722" spans="1:20" ht="19.5">
      <c r="A722" s="50"/>
      <c r="B722" s="49"/>
      <c r="C722" s="48"/>
      <c r="D722" s="60"/>
      <c r="E722" s="55"/>
      <c r="F722" s="55"/>
      <c r="G722" s="40"/>
      <c r="H722" s="231" t="s">
        <v>68</v>
      </c>
      <c r="I722" s="198">
        <v>672</v>
      </c>
      <c r="J722" s="87">
        <v>7</v>
      </c>
      <c r="K722" s="78">
        <v>3</v>
      </c>
      <c r="L722" s="79"/>
      <c r="M722" s="80"/>
      <c r="N722" s="80"/>
      <c r="O722" s="80"/>
      <c r="P722" s="85"/>
      <c r="Q722" s="126">
        <f>Q723</f>
        <v>8336.5</v>
      </c>
      <c r="R722" s="126">
        <f>R723</f>
        <v>8318.1</v>
      </c>
      <c r="T722" s="230"/>
    </row>
    <row r="723" spans="1:20" ht="31.5">
      <c r="A723" s="50"/>
      <c r="B723" s="49"/>
      <c r="C723" s="48"/>
      <c r="D723" s="60"/>
      <c r="E723" s="55"/>
      <c r="F723" s="55"/>
      <c r="G723" s="40"/>
      <c r="H723" s="20" t="s">
        <v>676</v>
      </c>
      <c r="I723" s="9">
        <v>672</v>
      </c>
      <c r="J723" s="4">
        <v>7</v>
      </c>
      <c r="K723" s="12">
        <v>3</v>
      </c>
      <c r="L723" s="46" t="s">
        <v>233</v>
      </c>
      <c r="M723" s="47" t="s">
        <v>222</v>
      </c>
      <c r="N723" s="47" t="s">
        <v>231</v>
      </c>
      <c r="O723" s="47" t="s">
        <v>240</v>
      </c>
      <c r="P723" s="3"/>
      <c r="Q723" s="125">
        <f>Q724</f>
        <v>8336.5</v>
      </c>
      <c r="R723" s="125">
        <f>R724</f>
        <v>8318.1</v>
      </c>
      <c r="T723" s="230"/>
    </row>
    <row r="724" spans="1:20" ht="18.75">
      <c r="A724" s="50"/>
      <c r="B724" s="49"/>
      <c r="C724" s="48"/>
      <c r="D724" s="60"/>
      <c r="E724" s="55"/>
      <c r="F724" s="55"/>
      <c r="G724" s="40"/>
      <c r="H724" s="20" t="s">
        <v>679</v>
      </c>
      <c r="I724" s="9">
        <v>672</v>
      </c>
      <c r="J724" s="4">
        <v>7</v>
      </c>
      <c r="K724" s="12">
        <v>3</v>
      </c>
      <c r="L724" s="46" t="s">
        <v>233</v>
      </c>
      <c r="M724" s="47" t="s">
        <v>222</v>
      </c>
      <c r="N724" s="47" t="s">
        <v>235</v>
      </c>
      <c r="O724" s="47" t="s">
        <v>240</v>
      </c>
      <c r="P724" s="3"/>
      <c r="Q724" s="125">
        <f>Q727+Q729+Q725</f>
        <v>8336.5</v>
      </c>
      <c r="R724" s="125">
        <f>R727+R729+R725</f>
        <v>8318.1</v>
      </c>
      <c r="T724" s="230"/>
    </row>
    <row r="725" spans="1:20" ht="18.75">
      <c r="A725" s="50"/>
      <c r="B725" s="49"/>
      <c r="C725" s="48"/>
      <c r="D725" s="60"/>
      <c r="E725" s="55"/>
      <c r="F725" s="55"/>
      <c r="G725" s="40"/>
      <c r="H725" s="2" t="s">
        <v>57</v>
      </c>
      <c r="I725" s="9">
        <v>672</v>
      </c>
      <c r="J725" s="4">
        <v>7</v>
      </c>
      <c r="K725" s="12">
        <v>3</v>
      </c>
      <c r="L725" s="46" t="s">
        <v>233</v>
      </c>
      <c r="M725" s="47" t="s">
        <v>222</v>
      </c>
      <c r="N725" s="47" t="s">
        <v>235</v>
      </c>
      <c r="O725" s="47" t="s">
        <v>52</v>
      </c>
      <c r="P725" s="3"/>
      <c r="Q725" s="125">
        <f>Q726</f>
        <v>18.4</v>
      </c>
      <c r="R725" s="125">
        <f>R726</f>
        <v>0</v>
      </c>
      <c r="T725" s="230"/>
    </row>
    <row r="726" spans="1:20" ht="18.75">
      <c r="A726" s="50"/>
      <c r="B726" s="49"/>
      <c r="C726" s="48"/>
      <c r="D726" s="60"/>
      <c r="E726" s="55"/>
      <c r="F726" s="55"/>
      <c r="G726" s="40"/>
      <c r="H726" s="20" t="s">
        <v>279</v>
      </c>
      <c r="I726" s="9">
        <v>672</v>
      </c>
      <c r="J726" s="4">
        <v>7</v>
      </c>
      <c r="K726" s="12">
        <v>3</v>
      </c>
      <c r="L726" s="46" t="s">
        <v>233</v>
      </c>
      <c r="M726" s="47" t="s">
        <v>222</v>
      </c>
      <c r="N726" s="47" t="s">
        <v>235</v>
      </c>
      <c r="O726" s="47" t="s">
        <v>52</v>
      </c>
      <c r="P726" s="3">
        <v>610</v>
      </c>
      <c r="Q726" s="125">
        <v>18.4</v>
      </c>
      <c r="R726" s="125">
        <v>0</v>
      </c>
      <c r="T726" s="230"/>
    </row>
    <row r="727" spans="1:20" ht="18.75">
      <c r="A727" s="50"/>
      <c r="B727" s="49"/>
      <c r="C727" s="48"/>
      <c r="D727" s="60"/>
      <c r="E727" s="55"/>
      <c r="F727" s="55"/>
      <c r="G727" s="40"/>
      <c r="H727" s="20" t="s">
        <v>61</v>
      </c>
      <c r="I727" s="9">
        <v>672</v>
      </c>
      <c r="J727" s="4">
        <v>7</v>
      </c>
      <c r="K727" s="12">
        <v>3</v>
      </c>
      <c r="L727" s="46" t="s">
        <v>233</v>
      </c>
      <c r="M727" s="47" t="s">
        <v>222</v>
      </c>
      <c r="N727" s="47" t="s">
        <v>235</v>
      </c>
      <c r="O727" s="47" t="s">
        <v>14</v>
      </c>
      <c r="P727" s="3"/>
      <c r="Q727" s="125">
        <f>Q728</f>
        <v>4393.5</v>
      </c>
      <c r="R727" s="125">
        <f>R728</f>
        <v>4393.5</v>
      </c>
      <c r="T727" s="230"/>
    </row>
    <row r="728" spans="1:20" ht="18.75">
      <c r="A728" s="50"/>
      <c r="B728" s="49"/>
      <c r="C728" s="48"/>
      <c r="D728" s="60"/>
      <c r="E728" s="55"/>
      <c r="F728" s="55"/>
      <c r="G728" s="40"/>
      <c r="H728" s="20" t="s">
        <v>279</v>
      </c>
      <c r="I728" s="9">
        <v>672</v>
      </c>
      <c r="J728" s="4">
        <v>7</v>
      </c>
      <c r="K728" s="12">
        <v>3</v>
      </c>
      <c r="L728" s="46" t="s">
        <v>233</v>
      </c>
      <c r="M728" s="47" t="s">
        <v>222</v>
      </c>
      <c r="N728" s="47" t="s">
        <v>235</v>
      </c>
      <c r="O728" s="47" t="s">
        <v>14</v>
      </c>
      <c r="P728" s="3">
        <v>610</v>
      </c>
      <c r="Q728" s="125">
        <f>3350.9+1128.3-18.4-180.8+113.5</f>
        <v>4393.5</v>
      </c>
      <c r="R728" s="125">
        <v>4393.5</v>
      </c>
      <c r="T728" s="230"/>
    </row>
    <row r="729" spans="1:20" ht="31.5">
      <c r="A729" s="50"/>
      <c r="B729" s="49"/>
      <c r="C729" s="48"/>
      <c r="D729" s="60"/>
      <c r="E729" s="55"/>
      <c r="F729" s="55"/>
      <c r="G729" s="40"/>
      <c r="H729" s="20" t="s">
        <v>353</v>
      </c>
      <c r="I729" s="9">
        <v>672</v>
      </c>
      <c r="J729" s="4">
        <v>7</v>
      </c>
      <c r="K729" s="12">
        <v>3</v>
      </c>
      <c r="L729" s="46" t="s">
        <v>233</v>
      </c>
      <c r="M729" s="47" t="s">
        <v>222</v>
      </c>
      <c r="N729" s="47" t="s">
        <v>235</v>
      </c>
      <c r="O729" s="47" t="s">
        <v>352</v>
      </c>
      <c r="P729" s="3"/>
      <c r="Q729" s="125">
        <f>Q730</f>
        <v>3924.6000000000004</v>
      </c>
      <c r="R729" s="125">
        <f>R730</f>
        <v>3924.6</v>
      </c>
      <c r="T729" s="230"/>
    </row>
    <row r="730" spans="1:20" ht="18.75">
      <c r="A730" s="50"/>
      <c r="B730" s="49"/>
      <c r="C730" s="48"/>
      <c r="D730" s="60"/>
      <c r="E730" s="55"/>
      <c r="F730" s="55"/>
      <c r="G730" s="40"/>
      <c r="H730" s="20" t="s">
        <v>279</v>
      </c>
      <c r="I730" s="9">
        <v>672</v>
      </c>
      <c r="J730" s="4">
        <v>7</v>
      </c>
      <c r="K730" s="12">
        <v>3</v>
      </c>
      <c r="L730" s="46" t="s">
        <v>233</v>
      </c>
      <c r="M730" s="47" t="s">
        <v>222</v>
      </c>
      <c r="N730" s="47" t="s">
        <v>235</v>
      </c>
      <c r="O730" s="47" t="s">
        <v>352</v>
      </c>
      <c r="P730" s="3">
        <v>610</v>
      </c>
      <c r="Q730" s="125">
        <f>3743.8+180.8</f>
        <v>3924.6000000000004</v>
      </c>
      <c r="R730" s="125">
        <v>3924.6</v>
      </c>
      <c r="T730" s="230"/>
    </row>
    <row r="731" spans="1:20" ht="19.5">
      <c r="A731" s="50"/>
      <c r="B731" s="49"/>
      <c r="C731" s="48"/>
      <c r="D731" s="60"/>
      <c r="E731" s="55"/>
      <c r="F731" s="55"/>
      <c r="G731" s="40"/>
      <c r="H731" s="231" t="s">
        <v>214</v>
      </c>
      <c r="I731" s="198">
        <v>672</v>
      </c>
      <c r="J731" s="87">
        <v>7</v>
      </c>
      <c r="K731" s="78">
        <v>9</v>
      </c>
      <c r="L731" s="79"/>
      <c r="M731" s="80"/>
      <c r="N731" s="80"/>
      <c r="O731" s="80"/>
      <c r="P731" s="85"/>
      <c r="Q731" s="126">
        <f>Q732+Q749+Q793</f>
        <v>20199.2</v>
      </c>
      <c r="R731" s="126">
        <f>R732+R749+R793</f>
        <v>20112.999999999996</v>
      </c>
      <c r="T731" s="230"/>
    </row>
    <row r="732" spans="1:20" ht="31.5">
      <c r="A732" s="50"/>
      <c r="B732" s="49"/>
      <c r="C732" s="48"/>
      <c r="D732" s="60"/>
      <c r="E732" s="55"/>
      <c r="F732" s="55"/>
      <c r="G732" s="40"/>
      <c r="H732" s="20" t="s">
        <v>597</v>
      </c>
      <c r="I732" s="9">
        <v>672</v>
      </c>
      <c r="J732" s="4">
        <v>7</v>
      </c>
      <c r="K732" s="12">
        <v>9</v>
      </c>
      <c r="L732" s="46" t="s">
        <v>223</v>
      </c>
      <c r="M732" s="47" t="s">
        <v>222</v>
      </c>
      <c r="N732" s="47" t="s">
        <v>231</v>
      </c>
      <c r="O732" s="47" t="s">
        <v>240</v>
      </c>
      <c r="P732" s="3"/>
      <c r="Q732" s="125">
        <f>Q733+Q736+Q739+Q742+Q745</f>
        <v>270.29999999999995</v>
      </c>
      <c r="R732" s="125">
        <f>R733+R736+R739+R742+R745</f>
        <v>270.3</v>
      </c>
      <c r="T732" s="230"/>
    </row>
    <row r="733" spans="1:20" ht="31.5" hidden="1">
      <c r="A733" s="50"/>
      <c r="B733" s="49"/>
      <c r="C733" s="48"/>
      <c r="D733" s="60"/>
      <c r="E733" s="55"/>
      <c r="F733" s="55"/>
      <c r="G733" s="40"/>
      <c r="H733" s="20" t="s">
        <v>169</v>
      </c>
      <c r="I733" s="9">
        <v>672</v>
      </c>
      <c r="J733" s="4">
        <v>7</v>
      </c>
      <c r="K733" s="12">
        <v>9</v>
      </c>
      <c r="L733" s="46" t="s">
        <v>223</v>
      </c>
      <c r="M733" s="47" t="s">
        <v>222</v>
      </c>
      <c r="N733" s="47" t="s">
        <v>223</v>
      </c>
      <c r="O733" s="47" t="s">
        <v>240</v>
      </c>
      <c r="P733" s="3"/>
      <c r="Q733" s="346">
        <f>Q734</f>
        <v>0</v>
      </c>
      <c r="R733" s="125">
        <f>R734</f>
        <v>0</v>
      </c>
      <c r="T733" s="230"/>
    </row>
    <row r="734" spans="1:20" ht="18.75" hidden="1">
      <c r="A734" s="50"/>
      <c r="B734" s="49"/>
      <c r="C734" s="48"/>
      <c r="D734" s="60"/>
      <c r="E734" s="55"/>
      <c r="F734" s="55"/>
      <c r="G734" s="40"/>
      <c r="H734" s="20" t="s">
        <v>64</v>
      </c>
      <c r="I734" s="9">
        <v>672</v>
      </c>
      <c r="J734" s="4">
        <v>7</v>
      </c>
      <c r="K734" s="12">
        <v>9</v>
      </c>
      <c r="L734" s="46" t="s">
        <v>223</v>
      </c>
      <c r="M734" s="47" t="s">
        <v>222</v>
      </c>
      <c r="N734" s="47" t="s">
        <v>223</v>
      </c>
      <c r="O734" s="47" t="s">
        <v>243</v>
      </c>
      <c r="P734" s="3"/>
      <c r="Q734" s="346">
        <f>Q735</f>
        <v>0</v>
      </c>
      <c r="R734" s="125">
        <f>R735</f>
        <v>0</v>
      </c>
      <c r="T734" s="230"/>
    </row>
    <row r="735" spans="1:20" ht="18.75" hidden="1">
      <c r="A735" s="50"/>
      <c r="B735" s="49"/>
      <c r="C735" s="48"/>
      <c r="D735" s="60"/>
      <c r="E735" s="55"/>
      <c r="F735" s="55"/>
      <c r="G735" s="40"/>
      <c r="H735" s="2" t="s">
        <v>277</v>
      </c>
      <c r="I735" s="9">
        <v>672</v>
      </c>
      <c r="J735" s="4">
        <v>7</v>
      </c>
      <c r="K735" s="12">
        <v>9</v>
      </c>
      <c r="L735" s="46" t="s">
        <v>223</v>
      </c>
      <c r="M735" s="47" t="s">
        <v>222</v>
      </c>
      <c r="N735" s="47" t="s">
        <v>223</v>
      </c>
      <c r="O735" s="47" t="s">
        <v>243</v>
      </c>
      <c r="P735" s="3">
        <v>240</v>
      </c>
      <c r="Q735" s="346">
        <f>15-15</f>
        <v>0</v>
      </c>
      <c r="R735" s="125"/>
      <c r="T735" s="230"/>
    </row>
    <row r="736" spans="1:20" ht="31.5" hidden="1">
      <c r="A736" s="50"/>
      <c r="B736" s="49"/>
      <c r="C736" s="48"/>
      <c r="D736" s="60"/>
      <c r="E736" s="55"/>
      <c r="F736" s="55"/>
      <c r="G736" s="40"/>
      <c r="H736" s="20" t="s">
        <v>54</v>
      </c>
      <c r="I736" s="9">
        <v>672</v>
      </c>
      <c r="J736" s="4">
        <v>7</v>
      </c>
      <c r="K736" s="12">
        <v>9</v>
      </c>
      <c r="L736" s="46" t="s">
        <v>223</v>
      </c>
      <c r="M736" s="47" t="s">
        <v>222</v>
      </c>
      <c r="N736" s="47" t="s">
        <v>234</v>
      </c>
      <c r="O736" s="47" t="s">
        <v>240</v>
      </c>
      <c r="P736" s="3"/>
      <c r="Q736" s="346">
        <f>Q737</f>
        <v>0</v>
      </c>
      <c r="R736" s="125">
        <f>R737</f>
        <v>0</v>
      </c>
      <c r="T736" s="230"/>
    </row>
    <row r="737" spans="1:20" ht="18.75" hidden="1">
      <c r="A737" s="50"/>
      <c r="B737" s="49"/>
      <c r="C737" s="48"/>
      <c r="D737" s="60"/>
      <c r="E737" s="55"/>
      <c r="F737" s="55"/>
      <c r="G737" s="40"/>
      <c r="H737" s="20" t="s">
        <v>64</v>
      </c>
      <c r="I737" s="9">
        <v>672</v>
      </c>
      <c r="J737" s="4">
        <v>7</v>
      </c>
      <c r="K737" s="12">
        <v>9</v>
      </c>
      <c r="L737" s="46" t="s">
        <v>223</v>
      </c>
      <c r="M737" s="47" t="s">
        <v>222</v>
      </c>
      <c r="N737" s="47" t="s">
        <v>234</v>
      </c>
      <c r="O737" s="47" t="s">
        <v>243</v>
      </c>
      <c r="P737" s="3"/>
      <c r="Q737" s="346">
        <f>Q738</f>
        <v>0</v>
      </c>
      <c r="R737" s="125">
        <f>R738</f>
        <v>0</v>
      </c>
      <c r="T737" s="230"/>
    </row>
    <row r="738" spans="1:20" ht="18.75" hidden="1">
      <c r="A738" s="50"/>
      <c r="B738" s="49"/>
      <c r="C738" s="48"/>
      <c r="D738" s="60"/>
      <c r="E738" s="55"/>
      <c r="F738" s="55"/>
      <c r="G738" s="40"/>
      <c r="H738" s="2" t="s">
        <v>277</v>
      </c>
      <c r="I738" s="9">
        <v>672</v>
      </c>
      <c r="J738" s="4">
        <v>7</v>
      </c>
      <c r="K738" s="12">
        <v>9</v>
      </c>
      <c r="L738" s="46" t="s">
        <v>223</v>
      </c>
      <c r="M738" s="47" t="s">
        <v>222</v>
      </c>
      <c r="N738" s="47" t="s">
        <v>234</v>
      </c>
      <c r="O738" s="47" t="s">
        <v>243</v>
      </c>
      <c r="P738" s="3">
        <v>240</v>
      </c>
      <c r="Q738" s="346">
        <f>133-120.1-12.9</f>
        <v>0</v>
      </c>
      <c r="R738" s="125"/>
      <c r="T738" s="230"/>
    </row>
    <row r="739" spans="1:20" ht="31.5" hidden="1">
      <c r="A739" s="50"/>
      <c r="B739" s="49"/>
      <c r="C739" s="48"/>
      <c r="D739" s="60"/>
      <c r="E739" s="55"/>
      <c r="F739" s="55"/>
      <c r="G739" s="40"/>
      <c r="H739" s="20" t="s">
        <v>51</v>
      </c>
      <c r="I739" s="9">
        <v>672</v>
      </c>
      <c r="J739" s="4">
        <v>7</v>
      </c>
      <c r="K739" s="12">
        <v>9</v>
      </c>
      <c r="L739" s="46" t="s">
        <v>223</v>
      </c>
      <c r="M739" s="47" t="s">
        <v>222</v>
      </c>
      <c r="N739" s="47" t="s">
        <v>235</v>
      </c>
      <c r="O739" s="47" t="s">
        <v>240</v>
      </c>
      <c r="P739" s="3"/>
      <c r="Q739" s="346">
        <f>Q740</f>
        <v>0</v>
      </c>
      <c r="R739" s="125">
        <f>R740</f>
        <v>0</v>
      </c>
      <c r="T739" s="230"/>
    </row>
    <row r="740" spans="1:20" ht="18.75" hidden="1">
      <c r="A740" s="50"/>
      <c r="B740" s="49"/>
      <c r="C740" s="48"/>
      <c r="D740" s="60"/>
      <c r="E740" s="55"/>
      <c r="F740" s="55"/>
      <c r="G740" s="40"/>
      <c r="H740" s="20" t="s">
        <v>64</v>
      </c>
      <c r="I740" s="9">
        <v>672</v>
      </c>
      <c r="J740" s="4">
        <v>7</v>
      </c>
      <c r="K740" s="12">
        <v>9</v>
      </c>
      <c r="L740" s="46" t="s">
        <v>223</v>
      </c>
      <c r="M740" s="47" t="s">
        <v>222</v>
      </c>
      <c r="N740" s="47" t="s">
        <v>235</v>
      </c>
      <c r="O740" s="47" t="s">
        <v>243</v>
      </c>
      <c r="P740" s="3"/>
      <c r="Q740" s="346">
        <f>Q741</f>
        <v>0</v>
      </c>
      <c r="R740" s="125">
        <f>R741</f>
        <v>0</v>
      </c>
      <c r="T740" s="230"/>
    </row>
    <row r="741" spans="1:20" ht="18.75" hidden="1">
      <c r="A741" s="50"/>
      <c r="B741" s="49"/>
      <c r="C741" s="48"/>
      <c r="D741" s="60"/>
      <c r="E741" s="55"/>
      <c r="F741" s="55"/>
      <c r="G741" s="40"/>
      <c r="H741" s="2" t="s">
        <v>277</v>
      </c>
      <c r="I741" s="9">
        <v>672</v>
      </c>
      <c r="J741" s="4">
        <v>7</v>
      </c>
      <c r="K741" s="12">
        <v>9</v>
      </c>
      <c r="L741" s="46" t="s">
        <v>223</v>
      </c>
      <c r="M741" s="47" t="s">
        <v>222</v>
      </c>
      <c r="N741" s="47" t="s">
        <v>235</v>
      </c>
      <c r="O741" s="47" t="s">
        <v>243</v>
      </c>
      <c r="P741" s="3">
        <v>240</v>
      </c>
      <c r="Q741" s="346">
        <f>8-3.3-4.7</f>
        <v>0</v>
      </c>
      <c r="R741" s="125"/>
      <c r="T741" s="230"/>
    </row>
    <row r="742" spans="1:20" ht="31.5">
      <c r="A742" s="50"/>
      <c r="B742" s="49"/>
      <c r="C742" s="48"/>
      <c r="D742" s="60"/>
      <c r="E742" s="55"/>
      <c r="F742" s="55"/>
      <c r="G742" s="40"/>
      <c r="H742" s="20" t="s">
        <v>268</v>
      </c>
      <c r="I742" s="9">
        <v>672</v>
      </c>
      <c r="J742" s="4">
        <v>7</v>
      </c>
      <c r="K742" s="12">
        <v>9</v>
      </c>
      <c r="L742" s="46" t="s">
        <v>223</v>
      </c>
      <c r="M742" s="47" t="s">
        <v>222</v>
      </c>
      <c r="N742" s="47" t="s">
        <v>233</v>
      </c>
      <c r="O742" s="47" t="s">
        <v>240</v>
      </c>
      <c r="P742" s="3"/>
      <c r="Q742" s="125">
        <f>Q743</f>
        <v>17.999999999999993</v>
      </c>
      <c r="R742" s="125">
        <f>R743</f>
        <v>18</v>
      </c>
      <c r="T742" s="230"/>
    </row>
    <row r="743" spans="1:20" ht="18.75">
      <c r="A743" s="50"/>
      <c r="B743" s="49"/>
      <c r="C743" s="48"/>
      <c r="D743" s="60"/>
      <c r="E743" s="55"/>
      <c r="F743" s="55"/>
      <c r="G743" s="40"/>
      <c r="H743" s="20" t="s">
        <v>64</v>
      </c>
      <c r="I743" s="9">
        <v>672</v>
      </c>
      <c r="J743" s="4">
        <v>7</v>
      </c>
      <c r="K743" s="12">
        <v>9</v>
      </c>
      <c r="L743" s="46" t="s">
        <v>223</v>
      </c>
      <c r="M743" s="47" t="s">
        <v>222</v>
      </c>
      <c r="N743" s="47" t="s">
        <v>233</v>
      </c>
      <c r="O743" s="47" t="s">
        <v>243</v>
      </c>
      <c r="P743" s="3"/>
      <c r="Q743" s="125">
        <f>Q744</f>
        <v>17.999999999999993</v>
      </c>
      <c r="R743" s="125">
        <f>R744</f>
        <v>18</v>
      </c>
      <c r="T743" s="230"/>
    </row>
    <row r="744" spans="1:20" ht="18.75">
      <c r="A744" s="50"/>
      <c r="B744" s="49"/>
      <c r="C744" s="48"/>
      <c r="D744" s="60"/>
      <c r="E744" s="55"/>
      <c r="F744" s="55"/>
      <c r="G744" s="40"/>
      <c r="H744" s="2" t="s">
        <v>277</v>
      </c>
      <c r="I744" s="9">
        <v>672</v>
      </c>
      <c r="J744" s="4">
        <v>7</v>
      </c>
      <c r="K744" s="12">
        <v>9</v>
      </c>
      <c r="L744" s="46" t="s">
        <v>223</v>
      </c>
      <c r="M744" s="47" t="s">
        <v>222</v>
      </c>
      <c r="N744" s="47" t="s">
        <v>233</v>
      </c>
      <c r="O744" s="47" t="s">
        <v>243</v>
      </c>
      <c r="P744" s="3">
        <v>240</v>
      </c>
      <c r="Q744" s="125">
        <f>219.7-60-123.6-18.1</f>
        <v>17.999999999999993</v>
      </c>
      <c r="R744" s="125">
        <v>18</v>
      </c>
      <c r="T744" s="230"/>
    </row>
    <row r="745" spans="1:20" ht="31.5">
      <c r="A745" s="50"/>
      <c r="B745" s="49"/>
      <c r="C745" s="48"/>
      <c r="D745" s="60"/>
      <c r="E745" s="55"/>
      <c r="F745" s="55"/>
      <c r="G745" s="40"/>
      <c r="H745" s="20" t="s">
        <v>2</v>
      </c>
      <c r="I745" s="9">
        <v>672</v>
      </c>
      <c r="J745" s="4">
        <v>7</v>
      </c>
      <c r="K745" s="12">
        <v>9</v>
      </c>
      <c r="L745" s="46" t="s">
        <v>223</v>
      </c>
      <c r="M745" s="47" t="s">
        <v>222</v>
      </c>
      <c r="N745" s="47" t="s">
        <v>225</v>
      </c>
      <c r="O745" s="47" t="s">
        <v>240</v>
      </c>
      <c r="P745" s="3"/>
      <c r="Q745" s="125">
        <f>Q746</f>
        <v>252.29999999999998</v>
      </c>
      <c r="R745" s="125">
        <f>R746</f>
        <v>252.3</v>
      </c>
      <c r="T745" s="230"/>
    </row>
    <row r="746" spans="1:20" s="111" customFormat="1" ht="18.75">
      <c r="A746" s="81"/>
      <c r="B746" s="82"/>
      <c r="C746" s="81"/>
      <c r="D746" s="132"/>
      <c r="E746" s="102"/>
      <c r="F746" s="102"/>
      <c r="G746" s="75"/>
      <c r="H746" s="20" t="s">
        <v>64</v>
      </c>
      <c r="I746" s="9">
        <v>672</v>
      </c>
      <c r="J746" s="4">
        <v>7</v>
      </c>
      <c r="K746" s="12">
        <v>9</v>
      </c>
      <c r="L746" s="46" t="s">
        <v>223</v>
      </c>
      <c r="M746" s="47" t="s">
        <v>222</v>
      </c>
      <c r="N746" s="47" t="s">
        <v>225</v>
      </c>
      <c r="O746" s="47" t="s">
        <v>243</v>
      </c>
      <c r="P746" s="3"/>
      <c r="Q746" s="125">
        <f>Q747+Q748</f>
        <v>252.29999999999998</v>
      </c>
      <c r="R746" s="125">
        <f>R747+R748</f>
        <v>252.3</v>
      </c>
      <c r="S746" s="283"/>
      <c r="T746" s="230"/>
    </row>
    <row r="747" spans="1:20" s="111" customFormat="1" ht="18.75">
      <c r="A747" s="81"/>
      <c r="B747" s="82"/>
      <c r="C747" s="81"/>
      <c r="D747" s="132"/>
      <c r="E747" s="102"/>
      <c r="F747" s="102"/>
      <c r="G747" s="75"/>
      <c r="H747" s="2" t="s">
        <v>277</v>
      </c>
      <c r="I747" s="9">
        <v>672</v>
      </c>
      <c r="J747" s="4">
        <v>7</v>
      </c>
      <c r="K747" s="12">
        <v>9</v>
      </c>
      <c r="L747" s="46" t="s">
        <v>223</v>
      </c>
      <c r="M747" s="47" t="s">
        <v>222</v>
      </c>
      <c r="N747" s="47" t="s">
        <v>225</v>
      </c>
      <c r="O747" s="47" t="s">
        <v>243</v>
      </c>
      <c r="P747" s="3">
        <v>240</v>
      </c>
      <c r="Q747" s="125">
        <f>355-50.3-65+15.9-3.3</f>
        <v>252.29999999999998</v>
      </c>
      <c r="R747" s="125">
        <v>252.3</v>
      </c>
      <c r="S747" s="283"/>
      <c r="T747" s="230"/>
    </row>
    <row r="748" spans="1:20" ht="18.75" hidden="1">
      <c r="A748" s="48"/>
      <c r="B748" s="49"/>
      <c r="C748" s="48"/>
      <c r="D748" s="62"/>
      <c r="E748" s="65"/>
      <c r="F748" s="65"/>
      <c r="G748" s="40"/>
      <c r="H748" s="2" t="s">
        <v>282</v>
      </c>
      <c r="I748" s="9">
        <v>672</v>
      </c>
      <c r="J748" s="4">
        <v>7</v>
      </c>
      <c r="K748" s="12">
        <v>9</v>
      </c>
      <c r="L748" s="46" t="s">
        <v>223</v>
      </c>
      <c r="M748" s="47" t="s">
        <v>222</v>
      </c>
      <c r="N748" s="47" t="s">
        <v>225</v>
      </c>
      <c r="O748" s="47" t="s">
        <v>243</v>
      </c>
      <c r="P748" s="3">
        <v>320</v>
      </c>
      <c r="Q748" s="346">
        <v>0</v>
      </c>
      <c r="R748" s="125"/>
      <c r="T748" s="230"/>
    </row>
    <row r="749" spans="1:20" ht="31.5">
      <c r="A749" s="48"/>
      <c r="B749" s="49"/>
      <c r="C749" s="48"/>
      <c r="D749" s="62"/>
      <c r="E749" s="65"/>
      <c r="F749" s="65"/>
      <c r="G749" s="40"/>
      <c r="H749" s="20" t="s">
        <v>676</v>
      </c>
      <c r="I749" s="9">
        <v>672</v>
      </c>
      <c r="J749" s="4">
        <v>7</v>
      </c>
      <c r="K749" s="12">
        <v>9</v>
      </c>
      <c r="L749" s="46" t="s">
        <v>233</v>
      </c>
      <c r="M749" s="47" t="s">
        <v>222</v>
      </c>
      <c r="N749" s="47" t="s">
        <v>231</v>
      </c>
      <c r="O749" s="47" t="s">
        <v>240</v>
      </c>
      <c r="P749" s="3"/>
      <c r="Q749" s="125">
        <f>Q750+Q755+Q768+Q772+Q778+Q787+Q790+Q775</f>
        <v>19816.800000000003</v>
      </c>
      <c r="R749" s="125">
        <f>R750+R755+R768+R772+R778+R787+R790+R775</f>
        <v>19731.6</v>
      </c>
      <c r="T749" s="230"/>
    </row>
    <row r="750" spans="1:20" ht="18.75">
      <c r="A750" s="50"/>
      <c r="B750" s="49"/>
      <c r="C750" s="54"/>
      <c r="D750" s="52"/>
      <c r="E750" s="64"/>
      <c r="F750" s="64"/>
      <c r="G750" s="40"/>
      <c r="H750" s="8" t="s">
        <v>249</v>
      </c>
      <c r="I750" s="3">
        <v>672</v>
      </c>
      <c r="J750" s="4">
        <v>7</v>
      </c>
      <c r="K750" s="12">
        <v>9</v>
      </c>
      <c r="L750" s="46" t="s">
        <v>233</v>
      </c>
      <c r="M750" s="47" t="s">
        <v>222</v>
      </c>
      <c r="N750" s="47" t="s">
        <v>223</v>
      </c>
      <c r="O750" s="47" t="s">
        <v>240</v>
      </c>
      <c r="P750" s="3"/>
      <c r="Q750" s="125">
        <f>Q751+Q753</f>
        <v>370.7</v>
      </c>
      <c r="R750" s="125">
        <f>R751+R753</f>
        <v>370.7</v>
      </c>
      <c r="T750" s="230"/>
    </row>
    <row r="751" spans="1:20" ht="18.75">
      <c r="A751" s="50"/>
      <c r="B751" s="49"/>
      <c r="C751" s="54"/>
      <c r="D751" s="52"/>
      <c r="E751" s="64"/>
      <c r="F751" s="64"/>
      <c r="G751" s="40"/>
      <c r="H751" s="20" t="s">
        <v>64</v>
      </c>
      <c r="I751" s="3">
        <v>672</v>
      </c>
      <c r="J751" s="4">
        <v>7</v>
      </c>
      <c r="K751" s="12">
        <v>9</v>
      </c>
      <c r="L751" s="46" t="s">
        <v>233</v>
      </c>
      <c r="M751" s="47" t="s">
        <v>222</v>
      </c>
      <c r="N751" s="47" t="s">
        <v>223</v>
      </c>
      <c r="O751" s="47" t="s">
        <v>243</v>
      </c>
      <c r="P751" s="3"/>
      <c r="Q751" s="125">
        <f>Q752</f>
        <v>15</v>
      </c>
      <c r="R751" s="125">
        <f>R752</f>
        <v>15</v>
      </c>
      <c r="T751" s="230"/>
    </row>
    <row r="752" spans="1:20" ht="18.75">
      <c r="A752" s="50"/>
      <c r="B752" s="49"/>
      <c r="C752" s="48"/>
      <c r="D752" s="52"/>
      <c r="E752" s="55"/>
      <c r="F752" s="55"/>
      <c r="G752" s="40"/>
      <c r="H752" s="2" t="s">
        <v>277</v>
      </c>
      <c r="I752" s="9">
        <v>672</v>
      </c>
      <c r="J752" s="4">
        <v>7</v>
      </c>
      <c r="K752" s="12">
        <v>9</v>
      </c>
      <c r="L752" s="46" t="s">
        <v>233</v>
      </c>
      <c r="M752" s="47" t="s">
        <v>222</v>
      </c>
      <c r="N752" s="47" t="s">
        <v>223</v>
      </c>
      <c r="O752" s="47" t="s">
        <v>243</v>
      </c>
      <c r="P752" s="3">
        <v>240</v>
      </c>
      <c r="Q752" s="125">
        <f>428.5-114.5-16.3-23.5-8.3-100.5-27.8-31.5-97.4+38.9+247.5-23.9-45.7-47.7-49.3-113.5</f>
        <v>15</v>
      </c>
      <c r="R752" s="125">
        <v>15</v>
      </c>
      <c r="T752" s="230"/>
    </row>
    <row r="753" spans="1:20" ht="18.75">
      <c r="A753" s="50"/>
      <c r="B753" s="49"/>
      <c r="C753" s="48"/>
      <c r="D753" s="52"/>
      <c r="E753" s="55"/>
      <c r="F753" s="55"/>
      <c r="G753" s="40"/>
      <c r="H753" s="8" t="s">
        <v>482</v>
      </c>
      <c r="I753" s="3">
        <v>672</v>
      </c>
      <c r="J753" s="4">
        <v>7</v>
      </c>
      <c r="K753" s="12">
        <v>9</v>
      </c>
      <c r="L753" s="46" t="s">
        <v>233</v>
      </c>
      <c r="M753" s="47" t="s">
        <v>222</v>
      </c>
      <c r="N753" s="47" t="s">
        <v>223</v>
      </c>
      <c r="O753" s="47" t="s">
        <v>481</v>
      </c>
      <c r="P753" s="3"/>
      <c r="Q753" s="125">
        <f>Q754</f>
        <v>355.7</v>
      </c>
      <c r="R753" s="125">
        <f>R754</f>
        <v>355.7</v>
      </c>
      <c r="T753" s="230"/>
    </row>
    <row r="754" spans="1:20" ht="18.75">
      <c r="A754" s="50"/>
      <c r="B754" s="49"/>
      <c r="C754" s="48"/>
      <c r="D754" s="52"/>
      <c r="E754" s="55"/>
      <c r="F754" s="55"/>
      <c r="G754" s="40"/>
      <c r="H754" s="20" t="s">
        <v>279</v>
      </c>
      <c r="I754" s="9">
        <v>672</v>
      </c>
      <c r="J754" s="4">
        <v>7</v>
      </c>
      <c r="K754" s="12">
        <v>9</v>
      </c>
      <c r="L754" s="46" t="s">
        <v>233</v>
      </c>
      <c r="M754" s="47" t="s">
        <v>222</v>
      </c>
      <c r="N754" s="47" t="s">
        <v>223</v>
      </c>
      <c r="O754" s="47" t="s">
        <v>481</v>
      </c>
      <c r="P754" s="3">
        <v>610</v>
      </c>
      <c r="Q754" s="125">
        <v>355.7</v>
      </c>
      <c r="R754" s="125">
        <v>355.7</v>
      </c>
      <c r="T754" s="230"/>
    </row>
    <row r="755" spans="1:20" ht="18.75">
      <c r="A755" s="50"/>
      <c r="B755" s="49"/>
      <c r="C755" s="48"/>
      <c r="D755" s="52"/>
      <c r="E755" s="55"/>
      <c r="F755" s="55"/>
      <c r="G755" s="40"/>
      <c r="H755" s="20" t="s">
        <v>250</v>
      </c>
      <c r="I755" s="9">
        <v>672</v>
      </c>
      <c r="J755" s="4">
        <v>7</v>
      </c>
      <c r="K755" s="12">
        <v>9</v>
      </c>
      <c r="L755" s="46" t="s">
        <v>233</v>
      </c>
      <c r="M755" s="47" t="s">
        <v>222</v>
      </c>
      <c r="N755" s="47" t="s">
        <v>234</v>
      </c>
      <c r="O755" s="47" t="s">
        <v>240</v>
      </c>
      <c r="P755" s="3"/>
      <c r="Q755" s="125">
        <f>Q756+Q760+Q766+Q764+Q758</f>
        <v>8896.699999999999</v>
      </c>
      <c r="R755" s="125">
        <f>R756+R760+R766+R764+R758</f>
        <v>8817.9</v>
      </c>
      <c r="T755" s="230"/>
    </row>
    <row r="756" spans="1:20" ht="18.75">
      <c r="A756" s="50"/>
      <c r="B756" s="49"/>
      <c r="C756" s="48"/>
      <c r="D756" s="52"/>
      <c r="E756" s="55"/>
      <c r="F756" s="55"/>
      <c r="G756" s="40"/>
      <c r="H756" s="20" t="s">
        <v>64</v>
      </c>
      <c r="I756" s="9">
        <v>672</v>
      </c>
      <c r="J756" s="4">
        <v>7</v>
      </c>
      <c r="K756" s="12">
        <v>9</v>
      </c>
      <c r="L756" s="46" t="s">
        <v>233</v>
      </c>
      <c r="M756" s="47" t="s">
        <v>222</v>
      </c>
      <c r="N756" s="47" t="s">
        <v>234</v>
      </c>
      <c r="O756" s="47" t="s">
        <v>243</v>
      </c>
      <c r="P756" s="3"/>
      <c r="Q756" s="125">
        <f>Q757</f>
        <v>45.600000000000016</v>
      </c>
      <c r="R756" s="125">
        <f>R757</f>
        <v>21</v>
      </c>
      <c r="T756" s="230"/>
    </row>
    <row r="757" spans="1:20" ht="18.75">
      <c r="A757" s="50"/>
      <c r="B757" s="49"/>
      <c r="C757" s="48"/>
      <c r="D757" s="52"/>
      <c r="E757" s="55"/>
      <c r="F757" s="55"/>
      <c r="G757" s="40"/>
      <c r="H757" s="2" t="s">
        <v>277</v>
      </c>
      <c r="I757" s="9">
        <v>672</v>
      </c>
      <c r="J757" s="4">
        <v>7</v>
      </c>
      <c r="K757" s="12">
        <v>9</v>
      </c>
      <c r="L757" s="46" t="s">
        <v>233</v>
      </c>
      <c r="M757" s="47" t="s">
        <v>222</v>
      </c>
      <c r="N757" s="47" t="s">
        <v>234</v>
      </c>
      <c r="O757" s="47" t="s">
        <v>243</v>
      </c>
      <c r="P757" s="3">
        <v>240</v>
      </c>
      <c r="Q757" s="125">
        <f>74.5-7.5-30.1-6.3+235.6-36.7-35.8-4.2-15.2-90-17.3-7.9-13.5</f>
        <v>45.600000000000016</v>
      </c>
      <c r="R757" s="125">
        <v>21</v>
      </c>
      <c r="T757" s="230"/>
    </row>
    <row r="758" spans="1:20" ht="31.5" hidden="1">
      <c r="A758" s="50"/>
      <c r="B758" s="49"/>
      <c r="C758" s="48"/>
      <c r="D758" s="52"/>
      <c r="E758" s="55"/>
      <c r="F758" s="55"/>
      <c r="G758" s="40"/>
      <c r="H758" s="2" t="s">
        <v>59</v>
      </c>
      <c r="I758" s="9">
        <v>672</v>
      </c>
      <c r="J758" s="4">
        <v>7</v>
      </c>
      <c r="K758" s="12">
        <v>9</v>
      </c>
      <c r="L758" s="46" t="s">
        <v>233</v>
      </c>
      <c r="M758" s="47" t="s">
        <v>222</v>
      </c>
      <c r="N758" s="47" t="s">
        <v>234</v>
      </c>
      <c r="O758" s="47" t="s">
        <v>58</v>
      </c>
      <c r="P758" s="3"/>
      <c r="Q758" s="346">
        <f>Q759</f>
        <v>1.8188228700921627E-13</v>
      </c>
      <c r="R758" s="125">
        <f>R759</f>
        <v>0</v>
      </c>
      <c r="T758" s="230"/>
    </row>
    <row r="759" spans="1:20" ht="18.75" hidden="1">
      <c r="A759" s="50"/>
      <c r="B759" s="49"/>
      <c r="C759" s="48"/>
      <c r="D759" s="52"/>
      <c r="E759" s="55"/>
      <c r="F759" s="55"/>
      <c r="G759" s="40"/>
      <c r="H759" s="2" t="s">
        <v>277</v>
      </c>
      <c r="I759" s="9">
        <v>672</v>
      </c>
      <c r="J759" s="4">
        <v>7</v>
      </c>
      <c r="K759" s="12">
        <v>9</v>
      </c>
      <c r="L759" s="46" t="s">
        <v>233</v>
      </c>
      <c r="M759" s="47" t="s">
        <v>222</v>
      </c>
      <c r="N759" s="47" t="s">
        <v>234</v>
      </c>
      <c r="O759" s="47" t="s">
        <v>58</v>
      </c>
      <c r="P759" s="3">
        <v>240</v>
      </c>
      <c r="Q759" s="346">
        <f>2305-2304.7-0.1-0.2</f>
        <v>1.8188228700921627E-13</v>
      </c>
      <c r="R759" s="125"/>
      <c r="T759" s="230"/>
    </row>
    <row r="760" spans="1:20" ht="47.25">
      <c r="A760" s="50"/>
      <c r="B760" s="49"/>
      <c r="C760" s="48"/>
      <c r="D760" s="52"/>
      <c r="E760" s="55"/>
      <c r="F760" s="55"/>
      <c r="G760" s="40"/>
      <c r="H760" s="20" t="s">
        <v>56</v>
      </c>
      <c r="I760" s="9">
        <v>672</v>
      </c>
      <c r="J760" s="4">
        <v>7</v>
      </c>
      <c r="K760" s="12">
        <v>9</v>
      </c>
      <c r="L760" s="46" t="s">
        <v>233</v>
      </c>
      <c r="M760" s="47" t="s">
        <v>222</v>
      </c>
      <c r="N760" s="47" t="s">
        <v>234</v>
      </c>
      <c r="O760" s="47" t="s">
        <v>55</v>
      </c>
      <c r="P760" s="3"/>
      <c r="Q760" s="125">
        <f>Q761+Q762+Q763</f>
        <v>7047.2</v>
      </c>
      <c r="R760" s="125">
        <f>R761+R762+R763</f>
        <v>7005.4</v>
      </c>
      <c r="T760" s="230"/>
    </row>
    <row r="761" spans="1:20" ht="18.75">
      <c r="A761" s="50"/>
      <c r="B761" s="49"/>
      <c r="C761" s="48"/>
      <c r="D761" s="52"/>
      <c r="E761" s="55"/>
      <c r="F761" s="55"/>
      <c r="G761" s="40"/>
      <c r="H761" s="2" t="s">
        <v>277</v>
      </c>
      <c r="I761" s="9">
        <v>672</v>
      </c>
      <c r="J761" s="4">
        <v>7</v>
      </c>
      <c r="K761" s="12">
        <v>9</v>
      </c>
      <c r="L761" s="46" t="s">
        <v>233</v>
      </c>
      <c r="M761" s="47" t="s">
        <v>222</v>
      </c>
      <c r="N761" s="47" t="s">
        <v>234</v>
      </c>
      <c r="O761" s="47" t="s">
        <v>55</v>
      </c>
      <c r="P761" s="3">
        <v>240</v>
      </c>
      <c r="Q761" s="125">
        <v>30.4</v>
      </c>
      <c r="R761" s="125">
        <v>27.5</v>
      </c>
      <c r="T761" s="230"/>
    </row>
    <row r="762" spans="1:20" ht="18.75">
      <c r="A762" s="50"/>
      <c r="B762" s="49"/>
      <c r="C762" s="48"/>
      <c r="D762" s="52"/>
      <c r="E762" s="55"/>
      <c r="F762" s="55"/>
      <c r="G762" s="40"/>
      <c r="H762" s="2" t="s">
        <v>282</v>
      </c>
      <c r="I762" s="9">
        <v>672</v>
      </c>
      <c r="J762" s="4">
        <v>7</v>
      </c>
      <c r="K762" s="12">
        <v>9</v>
      </c>
      <c r="L762" s="46" t="s">
        <v>233</v>
      </c>
      <c r="M762" s="47" t="s">
        <v>222</v>
      </c>
      <c r="N762" s="47" t="s">
        <v>234</v>
      </c>
      <c r="O762" s="47" t="s">
        <v>55</v>
      </c>
      <c r="P762" s="3">
        <v>320</v>
      </c>
      <c r="Q762" s="125">
        <f>2406.6+100-240-95</f>
        <v>2171.6</v>
      </c>
      <c r="R762" s="125">
        <v>2132.7</v>
      </c>
      <c r="T762" s="230"/>
    </row>
    <row r="763" spans="1:20" ht="18.75">
      <c r="A763" s="50"/>
      <c r="B763" s="49"/>
      <c r="C763" s="48"/>
      <c r="D763" s="52"/>
      <c r="E763" s="55"/>
      <c r="F763" s="55"/>
      <c r="G763" s="40"/>
      <c r="H763" s="20" t="s">
        <v>279</v>
      </c>
      <c r="I763" s="9">
        <v>672</v>
      </c>
      <c r="J763" s="4">
        <v>7</v>
      </c>
      <c r="K763" s="12">
        <v>9</v>
      </c>
      <c r="L763" s="46" t="s">
        <v>233</v>
      </c>
      <c r="M763" s="47" t="s">
        <v>222</v>
      </c>
      <c r="N763" s="47" t="s">
        <v>234</v>
      </c>
      <c r="O763" s="47" t="s">
        <v>55</v>
      </c>
      <c r="P763" s="3">
        <v>610</v>
      </c>
      <c r="Q763" s="125">
        <f>5735.2-890</f>
        <v>4845.2</v>
      </c>
      <c r="R763" s="125">
        <v>4845.2</v>
      </c>
      <c r="T763" s="230"/>
    </row>
    <row r="764" spans="1:20" ht="31.5">
      <c r="A764" s="50"/>
      <c r="B764" s="49"/>
      <c r="C764" s="48"/>
      <c r="D764" s="52"/>
      <c r="E764" s="55"/>
      <c r="F764" s="55"/>
      <c r="G764" s="40"/>
      <c r="H764" s="20" t="s">
        <v>465</v>
      </c>
      <c r="I764" s="9">
        <v>672</v>
      </c>
      <c r="J764" s="4">
        <v>7</v>
      </c>
      <c r="K764" s="12">
        <v>9</v>
      </c>
      <c r="L764" s="46" t="s">
        <v>233</v>
      </c>
      <c r="M764" s="47" t="s">
        <v>222</v>
      </c>
      <c r="N764" s="47" t="s">
        <v>234</v>
      </c>
      <c r="O764" s="47" t="s">
        <v>464</v>
      </c>
      <c r="P764" s="3"/>
      <c r="Q764" s="125">
        <f>Q765</f>
        <v>364.30000000000007</v>
      </c>
      <c r="R764" s="125">
        <f>R765</f>
        <v>351.9</v>
      </c>
      <c r="T764" s="230"/>
    </row>
    <row r="765" spans="1:20" ht="18.75">
      <c r="A765" s="50"/>
      <c r="B765" s="49"/>
      <c r="C765" s="48"/>
      <c r="D765" s="52"/>
      <c r="E765" s="55"/>
      <c r="F765" s="55"/>
      <c r="G765" s="40"/>
      <c r="H765" s="2" t="s">
        <v>277</v>
      </c>
      <c r="I765" s="9">
        <v>672</v>
      </c>
      <c r="J765" s="4">
        <v>7</v>
      </c>
      <c r="K765" s="12">
        <v>9</v>
      </c>
      <c r="L765" s="46" t="s">
        <v>233</v>
      </c>
      <c r="M765" s="47" t="s">
        <v>222</v>
      </c>
      <c r="N765" s="47" t="s">
        <v>234</v>
      </c>
      <c r="O765" s="47" t="s">
        <v>464</v>
      </c>
      <c r="P765" s="3">
        <v>240</v>
      </c>
      <c r="Q765" s="125">
        <f>847-4.8-477.9</f>
        <v>364.30000000000007</v>
      </c>
      <c r="R765" s="125">
        <v>351.9</v>
      </c>
      <c r="T765" s="230"/>
    </row>
    <row r="766" spans="1:20" ht="18.75">
      <c r="A766" s="50"/>
      <c r="B766" s="49"/>
      <c r="C766" s="48"/>
      <c r="D766" s="52"/>
      <c r="E766" s="55"/>
      <c r="F766" s="55"/>
      <c r="G766" s="40"/>
      <c r="H766" s="20" t="s">
        <v>482</v>
      </c>
      <c r="I766" s="9">
        <v>672</v>
      </c>
      <c r="J766" s="4">
        <v>7</v>
      </c>
      <c r="K766" s="12">
        <v>9</v>
      </c>
      <c r="L766" s="46" t="s">
        <v>233</v>
      </c>
      <c r="M766" s="47" t="s">
        <v>222</v>
      </c>
      <c r="N766" s="47" t="s">
        <v>234</v>
      </c>
      <c r="O766" s="47" t="s">
        <v>481</v>
      </c>
      <c r="P766" s="3"/>
      <c r="Q766" s="125">
        <f>Q767</f>
        <v>1439.6</v>
      </c>
      <c r="R766" s="125">
        <f>R767</f>
        <v>1439.6</v>
      </c>
      <c r="T766" s="230"/>
    </row>
    <row r="767" spans="1:20" ht="18.75">
      <c r="A767" s="50"/>
      <c r="B767" s="49"/>
      <c r="C767" s="48"/>
      <c r="D767" s="52"/>
      <c r="E767" s="55"/>
      <c r="F767" s="55"/>
      <c r="G767" s="40"/>
      <c r="H767" s="20" t="s">
        <v>279</v>
      </c>
      <c r="I767" s="9">
        <v>672</v>
      </c>
      <c r="J767" s="4">
        <v>7</v>
      </c>
      <c r="K767" s="12">
        <v>9</v>
      </c>
      <c r="L767" s="46" t="s">
        <v>233</v>
      </c>
      <c r="M767" s="47" t="s">
        <v>222</v>
      </c>
      <c r="N767" s="47" t="s">
        <v>234</v>
      </c>
      <c r="O767" s="47" t="s">
        <v>481</v>
      </c>
      <c r="P767" s="3">
        <v>610</v>
      </c>
      <c r="Q767" s="125">
        <v>1439.6</v>
      </c>
      <c r="R767" s="125">
        <v>1439.6</v>
      </c>
      <c r="T767" s="230"/>
    </row>
    <row r="768" spans="1:20" ht="18.75">
      <c r="A768" s="50"/>
      <c r="B768" s="49"/>
      <c r="C768" s="48"/>
      <c r="D768" s="52"/>
      <c r="E768" s="55"/>
      <c r="F768" s="55"/>
      <c r="G768" s="40"/>
      <c r="H768" s="20" t="s">
        <v>679</v>
      </c>
      <c r="I768" s="9">
        <v>672</v>
      </c>
      <c r="J768" s="4">
        <v>7</v>
      </c>
      <c r="K768" s="12">
        <v>9</v>
      </c>
      <c r="L768" s="46" t="s">
        <v>233</v>
      </c>
      <c r="M768" s="47" t="s">
        <v>222</v>
      </c>
      <c r="N768" s="47" t="s">
        <v>235</v>
      </c>
      <c r="O768" s="47" t="s">
        <v>240</v>
      </c>
      <c r="P768" s="3"/>
      <c r="Q768" s="125">
        <f>Q769</f>
        <v>1382.6000000000001</v>
      </c>
      <c r="R768" s="125">
        <f>R769</f>
        <v>1382.6000000000001</v>
      </c>
      <c r="T768" s="230"/>
    </row>
    <row r="769" spans="1:20" ht="18.75">
      <c r="A769" s="50"/>
      <c r="B769" s="49"/>
      <c r="C769" s="48"/>
      <c r="D769" s="52"/>
      <c r="E769" s="55"/>
      <c r="F769" s="55"/>
      <c r="G769" s="40"/>
      <c r="H769" s="20" t="s">
        <v>64</v>
      </c>
      <c r="I769" s="9">
        <v>672</v>
      </c>
      <c r="J769" s="4">
        <v>7</v>
      </c>
      <c r="K769" s="12">
        <v>9</v>
      </c>
      <c r="L769" s="46" t="s">
        <v>233</v>
      </c>
      <c r="M769" s="47" t="s">
        <v>222</v>
      </c>
      <c r="N769" s="47" t="s">
        <v>235</v>
      </c>
      <c r="O769" s="47" t="s">
        <v>243</v>
      </c>
      <c r="P769" s="3"/>
      <c r="Q769" s="125">
        <f>Q770+Q771</f>
        <v>1382.6000000000001</v>
      </c>
      <c r="R769" s="125">
        <f>R770+R771</f>
        <v>1382.6000000000001</v>
      </c>
      <c r="T769" s="230"/>
    </row>
    <row r="770" spans="1:20" ht="18.75">
      <c r="A770" s="50"/>
      <c r="B770" s="49"/>
      <c r="C770" s="48"/>
      <c r="D770" s="52"/>
      <c r="E770" s="55"/>
      <c r="F770" s="55"/>
      <c r="G770" s="40"/>
      <c r="H770" s="2" t="s">
        <v>277</v>
      </c>
      <c r="I770" s="9">
        <v>672</v>
      </c>
      <c r="J770" s="4">
        <v>7</v>
      </c>
      <c r="K770" s="12">
        <v>9</v>
      </c>
      <c r="L770" s="46" t="s">
        <v>233</v>
      </c>
      <c r="M770" s="47" t="s">
        <v>222</v>
      </c>
      <c r="N770" s="47" t="s">
        <v>235</v>
      </c>
      <c r="O770" s="47" t="s">
        <v>243</v>
      </c>
      <c r="P770" s="3">
        <v>240</v>
      </c>
      <c r="Q770" s="125">
        <f>300-50.5-9-36-60-30.1-2.5-17.8-4.5+0.9-2.6</f>
        <v>87.90000000000002</v>
      </c>
      <c r="R770" s="125">
        <v>87.9</v>
      </c>
      <c r="T770" s="230"/>
    </row>
    <row r="771" spans="1:20" ht="31.5">
      <c r="A771" s="50"/>
      <c r="B771" s="49"/>
      <c r="C771" s="48"/>
      <c r="D771" s="52"/>
      <c r="E771" s="55"/>
      <c r="F771" s="55"/>
      <c r="G771" s="40"/>
      <c r="H771" s="20" t="s">
        <v>434</v>
      </c>
      <c r="I771" s="9">
        <v>672</v>
      </c>
      <c r="J771" s="4">
        <v>7</v>
      </c>
      <c r="K771" s="12">
        <v>9</v>
      </c>
      <c r="L771" s="46" t="s">
        <v>233</v>
      </c>
      <c r="M771" s="47" t="s">
        <v>222</v>
      </c>
      <c r="N771" s="47" t="s">
        <v>235</v>
      </c>
      <c r="O771" s="47" t="s">
        <v>243</v>
      </c>
      <c r="P771" s="3">
        <v>630</v>
      </c>
      <c r="Q771" s="125">
        <f>2423-1128.3</f>
        <v>1294.7</v>
      </c>
      <c r="R771" s="125">
        <v>1294.7</v>
      </c>
      <c r="T771" s="230"/>
    </row>
    <row r="772" spans="1:20" ht="18.75">
      <c r="A772" s="50"/>
      <c r="B772" s="49"/>
      <c r="C772" s="48"/>
      <c r="D772" s="52"/>
      <c r="E772" s="55"/>
      <c r="F772" s="55"/>
      <c r="G772" s="40"/>
      <c r="H772" s="20" t="s">
        <v>683</v>
      </c>
      <c r="I772" s="9">
        <v>672</v>
      </c>
      <c r="J772" s="4">
        <v>7</v>
      </c>
      <c r="K772" s="12">
        <v>9</v>
      </c>
      <c r="L772" s="46" t="s">
        <v>233</v>
      </c>
      <c r="M772" s="47" t="s">
        <v>222</v>
      </c>
      <c r="N772" s="47" t="s">
        <v>233</v>
      </c>
      <c r="O772" s="47" t="s">
        <v>240</v>
      </c>
      <c r="P772" s="3"/>
      <c r="Q772" s="125">
        <f>Q773</f>
        <v>55</v>
      </c>
      <c r="R772" s="125">
        <f>R773</f>
        <v>55</v>
      </c>
      <c r="T772" s="230"/>
    </row>
    <row r="773" spans="1:20" s="111" customFormat="1" ht="18.75">
      <c r="A773" s="81"/>
      <c r="B773" s="82"/>
      <c r="C773" s="81"/>
      <c r="D773" s="89"/>
      <c r="E773" s="84"/>
      <c r="F773" s="84"/>
      <c r="G773" s="75"/>
      <c r="H773" s="20" t="s">
        <v>64</v>
      </c>
      <c r="I773" s="9">
        <v>672</v>
      </c>
      <c r="J773" s="4">
        <v>7</v>
      </c>
      <c r="K773" s="12">
        <v>9</v>
      </c>
      <c r="L773" s="46" t="s">
        <v>233</v>
      </c>
      <c r="M773" s="47" t="s">
        <v>222</v>
      </c>
      <c r="N773" s="47" t="s">
        <v>233</v>
      </c>
      <c r="O773" s="47" t="s">
        <v>243</v>
      </c>
      <c r="P773" s="3"/>
      <c r="Q773" s="125">
        <f>Q774</f>
        <v>55</v>
      </c>
      <c r="R773" s="125">
        <f>R774</f>
        <v>55</v>
      </c>
      <c r="S773" s="283"/>
      <c r="T773" s="230"/>
    </row>
    <row r="774" spans="1:20" ht="18.75">
      <c r="A774" s="50"/>
      <c r="B774" s="49"/>
      <c r="C774" s="48"/>
      <c r="D774" s="52"/>
      <c r="E774" s="55"/>
      <c r="F774" s="55"/>
      <c r="G774" s="40"/>
      <c r="H774" s="2" t="s">
        <v>277</v>
      </c>
      <c r="I774" s="9">
        <v>672</v>
      </c>
      <c r="J774" s="4">
        <v>7</v>
      </c>
      <c r="K774" s="12">
        <v>9</v>
      </c>
      <c r="L774" s="46" t="s">
        <v>233</v>
      </c>
      <c r="M774" s="47" t="s">
        <v>222</v>
      </c>
      <c r="N774" s="47" t="s">
        <v>233</v>
      </c>
      <c r="O774" s="47" t="s">
        <v>243</v>
      </c>
      <c r="P774" s="3">
        <v>240</v>
      </c>
      <c r="Q774" s="125">
        <v>55</v>
      </c>
      <c r="R774" s="125">
        <v>55</v>
      </c>
      <c r="T774" s="230"/>
    </row>
    <row r="775" spans="1:20" ht="18.75" hidden="1">
      <c r="A775" s="50"/>
      <c r="B775" s="49"/>
      <c r="C775" s="48"/>
      <c r="D775" s="52"/>
      <c r="E775" s="55"/>
      <c r="F775" s="55"/>
      <c r="G775" s="40"/>
      <c r="H775" s="20" t="s">
        <v>312</v>
      </c>
      <c r="I775" s="9">
        <v>672</v>
      </c>
      <c r="J775" s="4">
        <v>7</v>
      </c>
      <c r="K775" s="12">
        <v>9</v>
      </c>
      <c r="L775" s="46" t="s">
        <v>233</v>
      </c>
      <c r="M775" s="47" t="s">
        <v>222</v>
      </c>
      <c r="N775" s="47" t="s">
        <v>225</v>
      </c>
      <c r="O775" s="47" t="s">
        <v>240</v>
      </c>
      <c r="P775" s="3"/>
      <c r="Q775" s="346">
        <f>Q776</f>
        <v>0</v>
      </c>
      <c r="R775" s="125">
        <f>R776</f>
        <v>0</v>
      </c>
      <c r="T775" s="230"/>
    </row>
    <row r="776" spans="1:20" ht="18.75" hidden="1">
      <c r="A776" s="50"/>
      <c r="B776" s="49"/>
      <c r="C776" s="48"/>
      <c r="D776" s="52"/>
      <c r="E776" s="55"/>
      <c r="F776" s="55"/>
      <c r="G776" s="40"/>
      <c r="H776" s="133" t="s">
        <v>64</v>
      </c>
      <c r="I776" s="3">
        <v>672</v>
      </c>
      <c r="J776" s="4">
        <v>7</v>
      </c>
      <c r="K776" s="12">
        <v>9</v>
      </c>
      <c r="L776" s="46" t="s">
        <v>233</v>
      </c>
      <c r="M776" s="47" t="s">
        <v>222</v>
      </c>
      <c r="N776" s="47" t="s">
        <v>225</v>
      </c>
      <c r="O776" s="47" t="s">
        <v>243</v>
      </c>
      <c r="P776" s="3"/>
      <c r="Q776" s="346">
        <f>Q777</f>
        <v>0</v>
      </c>
      <c r="R776" s="125">
        <f>R777</f>
        <v>0</v>
      </c>
      <c r="T776" s="230"/>
    </row>
    <row r="777" spans="1:20" ht="18.75" hidden="1">
      <c r="A777" s="50"/>
      <c r="B777" s="49"/>
      <c r="C777" s="48"/>
      <c r="D777" s="52"/>
      <c r="E777" s="55"/>
      <c r="F777" s="55"/>
      <c r="G777" s="40"/>
      <c r="H777" s="2" t="s">
        <v>277</v>
      </c>
      <c r="I777" s="9">
        <v>672</v>
      </c>
      <c r="J777" s="4">
        <v>7</v>
      </c>
      <c r="K777" s="12">
        <v>9</v>
      </c>
      <c r="L777" s="46" t="s">
        <v>233</v>
      </c>
      <c r="M777" s="47" t="s">
        <v>222</v>
      </c>
      <c r="N777" s="47" t="s">
        <v>225</v>
      </c>
      <c r="O777" s="47" t="s">
        <v>243</v>
      </c>
      <c r="P777" s="3">
        <v>240</v>
      </c>
      <c r="Q777" s="346">
        <f>292-128-7-65.4-91.6</f>
        <v>0</v>
      </c>
      <c r="R777" s="125"/>
      <c r="T777" s="230"/>
    </row>
    <row r="778" spans="1:20" ht="18.75">
      <c r="A778" s="50"/>
      <c r="B778" s="49"/>
      <c r="C778" s="48"/>
      <c r="D778" s="52"/>
      <c r="E778" s="55"/>
      <c r="F778" s="55"/>
      <c r="G778" s="40"/>
      <c r="H778" s="20" t="s">
        <v>343</v>
      </c>
      <c r="I778" s="9">
        <v>672</v>
      </c>
      <c r="J778" s="4">
        <v>7</v>
      </c>
      <c r="K778" s="12">
        <v>9</v>
      </c>
      <c r="L778" s="46" t="s">
        <v>233</v>
      </c>
      <c r="M778" s="47" t="s">
        <v>222</v>
      </c>
      <c r="N778" s="47" t="s">
        <v>236</v>
      </c>
      <c r="O778" s="47" t="s">
        <v>240</v>
      </c>
      <c r="P778" s="3"/>
      <c r="Q778" s="125">
        <f>Q779+Q785+Q783</f>
        <v>4730.200000000001</v>
      </c>
      <c r="R778" s="125">
        <f>R779+R785+R783</f>
        <v>4723.8</v>
      </c>
      <c r="T778" s="230"/>
    </row>
    <row r="779" spans="1:20" ht="18.75">
      <c r="A779" s="50"/>
      <c r="B779" s="49"/>
      <c r="C779" s="48"/>
      <c r="D779" s="52"/>
      <c r="E779" s="55"/>
      <c r="F779" s="55"/>
      <c r="G779" s="40"/>
      <c r="H779" s="133" t="s">
        <v>64</v>
      </c>
      <c r="I779" s="3">
        <v>672</v>
      </c>
      <c r="J779" s="4">
        <v>7</v>
      </c>
      <c r="K779" s="12">
        <v>9</v>
      </c>
      <c r="L779" s="46" t="s">
        <v>233</v>
      </c>
      <c r="M779" s="47" t="s">
        <v>222</v>
      </c>
      <c r="N779" s="47" t="s">
        <v>236</v>
      </c>
      <c r="O779" s="47" t="s">
        <v>243</v>
      </c>
      <c r="P779" s="3"/>
      <c r="Q779" s="125">
        <f>Q780+Q781+Q782</f>
        <v>3626.1</v>
      </c>
      <c r="R779" s="125">
        <f>R780+R781+R782</f>
        <v>3619.7</v>
      </c>
      <c r="T779" s="230"/>
    </row>
    <row r="780" spans="1:20" ht="18.75">
      <c r="A780" s="50"/>
      <c r="B780" s="49"/>
      <c r="C780" s="48"/>
      <c r="D780" s="52"/>
      <c r="E780" s="55"/>
      <c r="F780" s="55"/>
      <c r="G780" s="40"/>
      <c r="H780" s="8" t="s">
        <v>210</v>
      </c>
      <c r="I780" s="3">
        <v>672</v>
      </c>
      <c r="J780" s="4">
        <v>7</v>
      </c>
      <c r="K780" s="12">
        <v>9</v>
      </c>
      <c r="L780" s="46" t="s">
        <v>233</v>
      </c>
      <c r="M780" s="47" t="s">
        <v>222</v>
      </c>
      <c r="N780" s="47" t="s">
        <v>236</v>
      </c>
      <c r="O780" s="47" t="s">
        <v>243</v>
      </c>
      <c r="P780" s="3">
        <v>120</v>
      </c>
      <c r="Q780" s="125">
        <f>3607.6-374.4-60-1-2+26.1+7.9-26.2-7.9</f>
        <v>3170.1</v>
      </c>
      <c r="R780" s="125">
        <v>3169.9</v>
      </c>
      <c r="T780" s="230"/>
    </row>
    <row r="781" spans="1:20" ht="18.75">
      <c r="A781" s="50"/>
      <c r="B781" s="49"/>
      <c r="C781" s="48"/>
      <c r="D781" s="352">
        <v>20000</v>
      </c>
      <c r="E781" s="353"/>
      <c r="F781" s="353"/>
      <c r="G781" s="40">
        <v>360</v>
      </c>
      <c r="H781" s="8" t="s">
        <v>277</v>
      </c>
      <c r="I781" s="3">
        <v>672</v>
      </c>
      <c r="J781" s="4">
        <v>7</v>
      </c>
      <c r="K781" s="12">
        <v>9</v>
      </c>
      <c r="L781" s="46" t="s">
        <v>233</v>
      </c>
      <c r="M781" s="47" t="s">
        <v>222</v>
      </c>
      <c r="N781" s="47" t="s">
        <v>236</v>
      </c>
      <c r="O781" s="47" t="s">
        <v>243</v>
      </c>
      <c r="P781" s="3">
        <v>240</v>
      </c>
      <c r="Q781" s="125">
        <f>343.7-0.3+60+42.8+2+1.3+5.4</f>
        <v>454.9</v>
      </c>
      <c r="R781" s="125">
        <v>448.7</v>
      </c>
      <c r="T781" s="230"/>
    </row>
    <row r="782" spans="8:20" ht="18.75">
      <c r="H782" s="2" t="s">
        <v>278</v>
      </c>
      <c r="I782" s="3">
        <v>672</v>
      </c>
      <c r="J782" s="4">
        <v>7</v>
      </c>
      <c r="K782" s="12">
        <v>9</v>
      </c>
      <c r="L782" s="46" t="s">
        <v>233</v>
      </c>
      <c r="M782" s="47" t="s">
        <v>222</v>
      </c>
      <c r="N782" s="47" t="s">
        <v>236</v>
      </c>
      <c r="O782" s="47" t="s">
        <v>243</v>
      </c>
      <c r="P782" s="3">
        <v>850</v>
      </c>
      <c r="Q782" s="125">
        <f>0.3+1-0.2</f>
        <v>1.1</v>
      </c>
      <c r="R782" s="125">
        <v>1.1</v>
      </c>
      <c r="T782" s="230"/>
    </row>
    <row r="783" spans="8:18" ht="31.5">
      <c r="H783" s="2" t="s">
        <v>458</v>
      </c>
      <c r="I783" s="3">
        <v>672</v>
      </c>
      <c r="J783" s="4">
        <v>7</v>
      </c>
      <c r="K783" s="12">
        <v>9</v>
      </c>
      <c r="L783" s="46" t="s">
        <v>233</v>
      </c>
      <c r="M783" s="47" t="s">
        <v>222</v>
      </c>
      <c r="N783" s="47" t="s">
        <v>236</v>
      </c>
      <c r="O783" s="47" t="s">
        <v>457</v>
      </c>
      <c r="P783" s="3"/>
      <c r="Q783" s="125">
        <f>Q784</f>
        <v>34.1</v>
      </c>
      <c r="R783" s="125">
        <f>R784</f>
        <v>34.1</v>
      </c>
    </row>
    <row r="784" spans="8:18" ht="18.75">
      <c r="H784" s="2" t="s">
        <v>210</v>
      </c>
      <c r="I784" s="3">
        <v>672</v>
      </c>
      <c r="J784" s="4">
        <v>7</v>
      </c>
      <c r="K784" s="12">
        <v>9</v>
      </c>
      <c r="L784" s="46" t="s">
        <v>233</v>
      </c>
      <c r="M784" s="47" t="s">
        <v>222</v>
      </c>
      <c r="N784" s="47" t="s">
        <v>236</v>
      </c>
      <c r="O784" s="47" t="s">
        <v>457</v>
      </c>
      <c r="P784" s="3">
        <v>120</v>
      </c>
      <c r="Q784" s="125">
        <f>26.2+7.9</f>
        <v>34.1</v>
      </c>
      <c r="R784" s="125">
        <v>34.1</v>
      </c>
    </row>
    <row r="785" spans="8:18" ht="31.5">
      <c r="H785" s="133" t="s">
        <v>353</v>
      </c>
      <c r="I785" s="3">
        <v>672</v>
      </c>
      <c r="J785" s="4">
        <v>7</v>
      </c>
      <c r="K785" s="12">
        <v>9</v>
      </c>
      <c r="L785" s="46" t="s">
        <v>233</v>
      </c>
      <c r="M785" s="47" t="s">
        <v>222</v>
      </c>
      <c r="N785" s="47" t="s">
        <v>236</v>
      </c>
      <c r="O785" s="47" t="s">
        <v>352</v>
      </c>
      <c r="P785" s="3"/>
      <c r="Q785" s="125">
        <f>Q786</f>
        <v>1070</v>
      </c>
      <c r="R785" s="125">
        <f>R786</f>
        <v>1070</v>
      </c>
    </row>
    <row r="786" spans="8:18" ht="18.75">
      <c r="H786" s="8" t="s">
        <v>210</v>
      </c>
      <c r="I786" s="3">
        <v>672</v>
      </c>
      <c r="J786" s="4">
        <v>7</v>
      </c>
      <c r="K786" s="12">
        <v>9</v>
      </c>
      <c r="L786" s="46" t="s">
        <v>233</v>
      </c>
      <c r="M786" s="47" t="s">
        <v>222</v>
      </c>
      <c r="N786" s="47" t="s">
        <v>236</v>
      </c>
      <c r="O786" s="47" t="s">
        <v>352</v>
      </c>
      <c r="P786" s="3">
        <v>120</v>
      </c>
      <c r="Q786" s="125">
        <v>1070</v>
      </c>
      <c r="R786" s="125">
        <v>1070</v>
      </c>
    </row>
    <row r="787" spans="8:18" ht="18.75">
      <c r="H787" s="20" t="s">
        <v>684</v>
      </c>
      <c r="I787" s="9">
        <v>672</v>
      </c>
      <c r="J787" s="4">
        <v>7</v>
      </c>
      <c r="K787" s="12">
        <v>9</v>
      </c>
      <c r="L787" s="46" t="s">
        <v>233</v>
      </c>
      <c r="M787" s="47" t="s">
        <v>222</v>
      </c>
      <c r="N787" s="47" t="s">
        <v>685</v>
      </c>
      <c r="O787" s="47" t="s">
        <v>240</v>
      </c>
      <c r="P787" s="3" t="s">
        <v>241</v>
      </c>
      <c r="Q787" s="125">
        <f>Q788</f>
        <v>4381.6</v>
      </c>
      <c r="R787" s="125">
        <f>R788</f>
        <v>4381.6</v>
      </c>
    </row>
    <row r="788" spans="8:18" ht="47.25">
      <c r="H788" s="20" t="s">
        <v>686</v>
      </c>
      <c r="I788" s="9">
        <v>672</v>
      </c>
      <c r="J788" s="4">
        <v>7</v>
      </c>
      <c r="K788" s="12">
        <v>9</v>
      </c>
      <c r="L788" s="46" t="s">
        <v>233</v>
      </c>
      <c r="M788" s="47" t="s">
        <v>222</v>
      </c>
      <c r="N788" s="47" t="s">
        <v>685</v>
      </c>
      <c r="O788" s="47" t="s">
        <v>687</v>
      </c>
      <c r="P788" s="3"/>
      <c r="Q788" s="125">
        <f>Q789</f>
        <v>4381.6</v>
      </c>
      <c r="R788" s="125">
        <f>R789</f>
        <v>4381.6</v>
      </c>
    </row>
    <row r="789" spans="8:18" ht="18.75">
      <c r="H789" s="8" t="s">
        <v>277</v>
      </c>
      <c r="I789" s="3">
        <v>672</v>
      </c>
      <c r="J789" s="4">
        <v>7</v>
      </c>
      <c r="K789" s="12">
        <v>9</v>
      </c>
      <c r="L789" s="46" t="s">
        <v>233</v>
      </c>
      <c r="M789" s="47" t="s">
        <v>222</v>
      </c>
      <c r="N789" s="47" t="s">
        <v>685</v>
      </c>
      <c r="O789" s="47" t="s">
        <v>687</v>
      </c>
      <c r="P789" s="3">
        <v>240</v>
      </c>
      <c r="Q789" s="125">
        <f>4390.7-0.4-8.7</f>
        <v>4381.6</v>
      </c>
      <c r="R789" s="125">
        <v>4381.6</v>
      </c>
    </row>
    <row r="790" spans="8:18" ht="18.75" hidden="1">
      <c r="H790" s="133" t="s">
        <v>295</v>
      </c>
      <c r="I790" s="3">
        <v>672</v>
      </c>
      <c r="J790" s="4">
        <v>7</v>
      </c>
      <c r="K790" s="12">
        <v>9</v>
      </c>
      <c r="L790" s="46" t="s">
        <v>233</v>
      </c>
      <c r="M790" s="47" t="s">
        <v>222</v>
      </c>
      <c r="N790" s="47" t="s">
        <v>378</v>
      </c>
      <c r="O790" s="47" t="s">
        <v>240</v>
      </c>
      <c r="P790" s="3"/>
      <c r="Q790" s="346">
        <f>Q791</f>
        <v>0</v>
      </c>
      <c r="R790" s="125">
        <f>R791</f>
        <v>0</v>
      </c>
    </row>
    <row r="791" spans="8:18" ht="31.5" hidden="1">
      <c r="H791" s="133" t="s">
        <v>688</v>
      </c>
      <c r="I791" s="3">
        <v>672</v>
      </c>
      <c r="J791" s="4">
        <v>7</v>
      </c>
      <c r="K791" s="12">
        <v>9</v>
      </c>
      <c r="L791" s="46" t="s">
        <v>233</v>
      </c>
      <c r="M791" s="47" t="s">
        <v>222</v>
      </c>
      <c r="N791" s="47" t="s">
        <v>378</v>
      </c>
      <c r="O791" s="47" t="s">
        <v>689</v>
      </c>
      <c r="P791" s="3"/>
      <c r="Q791" s="346">
        <f>Q792</f>
        <v>0</v>
      </c>
      <c r="R791" s="125">
        <f>R792</f>
        <v>0</v>
      </c>
    </row>
    <row r="792" spans="8:18" ht="18.75" hidden="1">
      <c r="H792" s="8" t="s">
        <v>277</v>
      </c>
      <c r="I792" s="3">
        <v>672</v>
      </c>
      <c r="J792" s="4">
        <v>7</v>
      </c>
      <c r="K792" s="12">
        <v>9</v>
      </c>
      <c r="L792" s="46" t="s">
        <v>233</v>
      </c>
      <c r="M792" s="47" t="s">
        <v>222</v>
      </c>
      <c r="N792" s="47" t="s">
        <v>378</v>
      </c>
      <c r="O792" s="47" t="s">
        <v>689</v>
      </c>
      <c r="P792" s="3">
        <v>240</v>
      </c>
      <c r="Q792" s="346">
        <v>0</v>
      </c>
      <c r="R792" s="125"/>
    </row>
    <row r="793" spans="8:18" ht="31.5">
      <c r="H793" s="133" t="s">
        <v>682</v>
      </c>
      <c r="I793" s="3">
        <v>672</v>
      </c>
      <c r="J793" s="4">
        <v>7</v>
      </c>
      <c r="K793" s="12">
        <v>9</v>
      </c>
      <c r="L793" s="46" t="s">
        <v>565</v>
      </c>
      <c r="M793" s="47" t="s">
        <v>222</v>
      </c>
      <c r="N793" s="47" t="s">
        <v>231</v>
      </c>
      <c r="O793" s="47" t="s">
        <v>240</v>
      </c>
      <c r="P793" s="3"/>
      <c r="Q793" s="125">
        <f>Q794+Q797</f>
        <v>112.1</v>
      </c>
      <c r="R793" s="125">
        <f>R794+R797</f>
        <v>111.1</v>
      </c>
    </row>
    <row r="794" spans="8:18" ht="18.75">
      <c r="H794" s="20" t="s">
        <v>690</v>
      </c>
      <c r="I794" s="9">
        <v>672</v>
      </c>
      <c r="J794" s="4">
        <v>7</v>
      </c>
      <c r="K794" s="12">
        <v>9</v>
      </c>
      <c r="L794" s="46" t="s">
        <v>565</v>
      </c>
      <c r="M794" s="47" t="s">
        <v>222</v>
      </c>
      <c r="N794" s="47" t="s">
        <v>223</v>
      </c>
      <c r="O794" s="47" t="s">
        <v>240</v>
      </c>
      <c r="P794" s="3"/>
      <c r="Q794" s="125">
        <f>Q795</f>
        <v>45.9</v>
      </c>
      <c r="R794" s="125">
        <f>R795</f>
        <v>44.9</v>
      </c>
    </row>
    <row r="795" spans="8:18" ht="18.75">
      <c r="H795" s="20" t="s">
        <v>369</v>
      </c>
      <c r="I795" s="9">
        <v>672</v>
      </c>
      <c r="J795" s="4">
        <v>7</v>
      </c>
      <c r="K795" s="12">
        <v>9</v>
      </c>
      <c r="L795" s="46" t="s">
        <v>565</v>
      </c>
      <c r="M795" s="47" t="s">
        <v>222</v>
      </c>
      <c r="N795" s="47" t="s">
        <v>223</v>
      </c>
      <c r="O795" s="47" t="s">
        <v>29</v>
      </c>
      <c r="P795" s="3"/>
      <c r="Q795" s="125">
        <f>Q796</f>
        <v>45.9</v>
      </c>
      <c r="R795" s="125">
        <f>R796</f>
        <v>44.9</v>
      </c>
    </row>
    <row r="796" spans="8:18" ht="18.75">
      <c r="H796" s="2" t="s">
        <v>277</v>
      </c>
      <c r="I796" s="9">
        <v>672</v>
      </c>
      <c r="J796" s="4">
        <v>7</v>
      </c>
      <c r="K796" s="12">
        <v>9</v>
      </c>
      <c r="L796" s="46" t="s">
        <v>565</v>
      </c>
      <c r="M796" s="47" t="s">
        <v>222</v>
      </c>
      <c r="N796" s="47" t="s">
        <v>223</v>
      </c>
      <c r="O796" s="47" t="s">
        <v>29</v>
      </c>
      <c r="P796" s="3">
        <v>240</v>
      </c>
      <c r="Q796" s="125">
        <f>60-25+10.9</f>
        <v>45.9</v>
      </c>
      <c r="R796" s="125">
        <v>44.9</v>
      </c>
    </row>
    <row r="797" spans="8:18" ht="31.5">
      <c r="H797" s="20" t="s">
        <v>370</v>
      </c>
      <c r="I797" s="9">
        <v>672</v>
      </c>
      <c r="J797" s="4">
        <v>7</v>
      </c>
      <c r="K797" s="12">
        <v>9</v>
      </c>
      <c r="L797" s="46" t="s">
        <v>565</v>
      </c>
      <c r="M797" s="47" t="s">
        <v>222</v>
      </c>
      <c r="N797" s="47" t="s">
        <v>234</v>
      </c>
      <c r="O797" s="47" t="s">
        <v>240</v>
      </c>
      <c r="P797" s="3"/>
      <c r="Q797" s="125">
        <f>Q798</f>
        <v>66.19999999999999</v>
      </c>
      <c r="R797" s="125">
        <f>R798</f>
        <v>66.2</v>
      </c>
    </row>
    <row r="798" spans="8:18" ht="18.75">
      <c r="H798" s="20" t="s">
        <v>371</v>
      </c>
      <c r="I798" s="9">
        <v>672</v>
      </c>
      <c r="J798" s="4">
        <v>7</v>
      </c>
      <c r="K798" s="12">
        <v>9</v>
      </c>
      <c r="L798" s="46" t="s">
        <v>565</v>
      </c>
      <c r="M798" s="47" t="s">
        <v>222</v>
      </c>
      <c r="N798" s="47" t="s">
        <v>234</v>
      </c>
      <c r="O798" s="47" t="s">
        <v>4</v>
      </c>
      <c r="P798" s="3"/>
      <c r="Q798" s="125">
        <f>Q799</f>
        <v>66.19999999999999</v>
      </c>
      <c r="R798" s="125">
        <f>R799</f>
        <v>66.2</v>
      </c>
    </row>
    <row r="799" spans="8:18" ht="18.75">
      <c r="H799" s="2" t="s">
        <v>277</v>
      </c>
      <c r="I799" s="9">
        <v>672</v>
      </c>
      <c r="J799" s="4">
        <v>7</v>
      </c>
      <c r="K799" s="12">
        <v>9</v>
      </c>
      <c r="L799" s="46" t="s">
        <v>565</v>
      </c>
      <c r="M799" s="47" t="s">
        <v>222</v>
      </c>
      <c r="N799" s="47" t="s">
        <v>234</v>
      </c>
      <c r="O799" s="47" t="s">
        <v>4</v>
      </c>
      <c r="P799" s="3">
        <v>240</v>
      </c>
      <c r="Q799" s="125">
        <f>70-17.9+25-10.9</f>
        <v>66.19999999999999</v>
      </c>
      <c r="R799" s="125">
        <v>66.2</v>
      </c>
    </row>
    <row r="800" spans="8:18" ht="19.5" hidden="1">
      <c r="H800" s="231" t="s">
        <v>504</v>
      </c>
      <c r="I800" s="198">
        <v>672</v>
      </c>
      <c r="J800" s="87">
        <v>10</v>
      </c>
      <c r="K800" s="78"/>
      <c r="L800" s="79"/>
      <c r="M800" s="80"/>
      <c r="N800" s="80"/>
      <c r="O800" s="80"/>
      <c r="P800" s="85"/>
      <c r="Q800" s="348">
        <f aca="true" t="shared" si="33" ref="Q800:R803">Q801</f>
        <v>0</v>
      </c>
      <c r="R800" s="126">
        <f t="shared" si="33"/>
        <v>0</v>
      </c>
    </row>
    <row r="801" spans="8:18" ht="19.5" hidden="1">
      <c r="H801" s="169" t="s">
        <v>79</v>
      </c>
      <c r="I801" s="198">
        <v>672</v>
      </c>
      <c r="J801" s="87">
        <v>10</v>
      </c>
      <c r="K801" s="78">
        <v>4</v>
      </c>
      <c r="L801" s="79"/>
      <c r="M801" s="80"/>
      <c r="N801" s="80"/>
      <c r="O801" s="80"/>
      <c r="P801" s="85"/>
      <c r="Q801" s="348">
        <f t="shared" si="33"/>
        <v>0</v>
      </c>
      <c r="R801" s="126">
        <f t="shared" si="33"/>
        <v>0</v>
      </c>
    </row>
    <row r="802" spans="8:18" ht="31.5" hidden="1">
      <c r="H802" s="20" t="s">
        <v>676</v>
      </c>
      <c r="I802" s="9">
        <v>672</v>
      </c>
      <c r="J802" s="4">
        <v>10</v>
      </c>
      <c r="K802" s="12">
        <v>4</v>
      </c>
      <c r="L802" s="46" t="s">
        <v>233</v>
      </c>
      <c r="M802" s="47" t="s">
        <v>222</v>
      </c>
      <c r="N802" s="47" t="s">
        <v>231</v>
      </c>
      <c r="O802" s="47" t="s">
        <v>240</v>
      </c>
      <c r="P802" s="3"/>
      <c r="Q802" s="346">
        <f t="shared" si="33"/>
        <v>0</v>
      </c>
      <c r="R802" s="125">
        <f t="shared" si="33"/>
        <v>0</v>
      </c>
    </row>
    <row r="803" spans="8:18" ht="18.75" hidden="1">
      <c r="H803" s="20" t="s">
        <v>249</v>
      </c>
      <c r="I803" s="9">
        <v>672</v>
      </c>
      <c r="J803" s="4">
        <v>10</v>
      </c>
      <c r="K803" s="12">
        <v>4</v>
      </c>
      <c r="L803" s="46" t="s">
        <v>233</v>
      </c>
      <c r="M803" s="47" t="s">
        <v>222</v>
      </c>
      <c r="N803" s="47" t="s">
        <v>223</v>
      </c>
      <c r="O803" s="47" t="s">
        <v>240</v>
      </c>
      <c r="P803" s="3"/>
      <c r="Q803" s="346">
        <f t="shared" si="33"/>
        <v>0</v>
      </c>
      <c r="R803" s="125">
        <f t="shared" si="33"/>
        <v>0</v>
      </c>
    </row>
    <row r="804" spans="8:18" ht="47.25" hidden="1">
      <c r="H804" s="20" t="s">
        <v>56</v>
      </c>
      <c r="I804" s="9">
        <v>672</v>
      </c>
      <c r="J804" s="4">
        <v>10</v>
      </c>
      <c r="K804" s="12">
        <v>4</v>
      </c>
      <c r="L804" s="46" t="s">
        <v>233</v>
      </c>
      <c r="M804" s="47" t="s">
        <v>222</v>
      </c>
      <c r="N804" s="47" t="s">
        <v>223</v>
      </c>
      <c r="O804" s="47" t="s">
        <v>55</v>
      </c>
      <c r="P804" s="3"/>
      <c r="Q804" s="346">
        <f>Q805+Q806</f>
        <v>0</v>
      </c>
      <c r="R804" s="125">
        <f>R805+R806</f>
        <v>0</v>
      </c>
    </row>
    <row r="805" spans="8:18" ht="18.75" hidden="1">
      <c r="H805" s="2" t="s">
        <v>277</v>
      </c>
      <c r="I805" s="9">
        <v>672</v>
      </c>
      <c r="J805" s="4">
        <v>10</v>
      </c>
      <c r="K805" s="12">
        <v>4</v>
      </c>
      <c r="L805" s="46" t="s">
        <v>233</v>
      </c>
      <c r="M805" s="47" t="s">
        <v>222</v>
      </c>
      <c r="N805" s="47" t="s">
        <v>223</v>
      </c>
      <c r="O805" s="47" t="s">
        <v>55</v>
      </c>
      <c r="P805" s="3">
        <v>240</v>
      </c>
      <c r="Q805" s="346">
        <v>0</v>
      </c>
      <c r="R805" s="125"/>
    </row>
    <row r="806" spans="8:18" ht="18.75" hidden="1">
      <c r="H806" s="2" t="s">
        <v>282</v>
      </c>
      <c r="I806" s="9">
        <v>672</v>
      </c>
      <c r="J806" s="4">
        <v>10</v>
      </c>
      <c r="K806" s="12">
        <v>4</v>
      </c>
      <c r="L806" s="46" t="s">
        <v>233</v>
      </c>
      <c r="M806" s="47" t="s">
        <v>222</v>
      </c>
      <c r="N806" s="47" t="s">
        <v>223</v>
      </c>
      <c r="O806" s="47" t="s">
        <v>55</v>
      </c>
      <c r="P806" s="3">
        <v>320</v>
      </c>
      <c r="Q806" s="346">
        <v>0</v>
      </c>
      <c r="R806" s="125"/>
    </row>
    <row r="807" spans="8:18" ht="16.5">
      <c r="H807" s="234" t="s">
        <v>691</v>
      </c>
      <c r="I807" s="269">
        <v>673</v>
      </c>
      <c r="J807" s="270"/>
      <c r="K807" s="11"/>
      <c r="L807" s="72"/>
      <c r="M807" s="73"/>
      <c r="N807" s="73"/>
      <c r="O807" s="73"/>
      <c r="P807" s="18"/>
      <c r="Q807" s="237">
        <f>Q808+Q836+Q842+Q881+Q823+Q835+Q875</f>
        <v>13394</v>
      </c>
      <c r="R807" s="237">
        <f>R808+R836+R842+R881+R823+R835+R875</f>
        <v>13053.8</v>
      </c>
    </row>
    <row r="808" spans="8:18" ht="19.5">
      <c r="H808" s="231" t="s">
        <v>502</v>
      </c>
      <c r="I808" s="198">
        <v>673</v>
      </c>
      <c r="J808" s="87">
        <v>1</v>
      </c>
      <c r="K808" s="78"/>
      <c r="L808" s="79"/>
      <c r="M808" s="80"/>
      <c r="N808" s="80"/>
      <c r="O808" s="80"/>
      <c r="P808" s="85"/>
      <c r="Q808" s="126">
        <f>Q809+Q818</f>
        <v>5355.1</v>
      </c>
      <c r="R808" s="126">
        <f>R809+R818</f>
        <v>5208.2</v>
      </c>
    </row>
    <row r="809" spans="8:18" ht="31.5">
      <c r="H809" s="169" t="s">
        <v>512</v>
      </c>
      <c r="I809" s="198">
        <v>673</v>
      </c>
      <c r="J809" s="87">
        <v>1</v>
      </c>
      <c r="K809" s="78">
        <v>4</v>
      </c>
      <c r="L809" s="79"/>
      <c r="M809" s="80"/>
      <c r="N809" s="80"/>
      <c r="O809" s="80"/>
      <c r="P809" s="85"/>
      <c r="Q809" s="126">
        <f>Q810</f>
        <v>5270.700000000001</v>
      </c>
      <c r="R809" s="126">
        <f>R810</f>
        <v>5123.8</v>
      </c>
    </row>
    <row r="810" spans="8:18" ht="31.5">
      <c r="H810" s="2" t="s">
        <v>509</v>
      </c>
      <c r="I810" s="9">
        <v>673</v>
      </c>
      <c r="J810" s="4">
        <v>1</v>
      </c>
      <c r="K810" s="12">
        <v>4</v>
      </c>
      <c r="L810" s="46" t="s">
        <v>510</v>
      </c>
      <c r="M810" s="47" t="s">
        <v>222</v>
      </c>
      <c r="N810" s="47" t="s">
        <v>231</v>
      </c>
      <c r="O810" s="47" t="s">
        <v>240</v>
      </c>
      <c r="P810" s="3"/>
      <c r="Q810" s="125">
        <f>Q811</f>
        <v>5270.700000000001</v>
      </c>
      <c r="R810" s="125">
        <f>R811</f>
        <v>5123.8</v>
      </c>
    </row>
    <row r="811" spans="8:18" ht="31.5">
      <c r="H811" s="2" t="s">
        <v>692</v>
      </c>
      <c r="I811" s="9">
        <v>673</v>
      </c>
      <c r="J811" s="4">
        <v>1</v>
      </c>
      <c r="K811" s="12">
        <v>4</v>
      </c>
      <c r="L811" s="46" t="s">
        <v>510</v>
      </c>
      <c r="M811" s="47" t="s">
        <v>222</v>
      </c>
      <c r="N811" s="47" t="s">
        <v>235</v>
      </c>
      <c r="O811" s="47" t="s">
        <v>240</v>
      </c>
      <c r="P811" s="3"/>
      <c r="Q811" s="125">
        <f>Q812+Q816</f>
        <v>5270.700000000001</v>
      </c>
      <c r="R811" s="125">
        <f>R812+R816</f>
        <v>5123.8</v>
      </c>
    </row>
    <row r="812" spans="8:18" ht="18.75">
      <c r="H812" s="2" t="s">
        <v>64</v>
      </c>
      <c r="I812" s="9">
        <v>673</v>
      </c>
      <c r="J812" s="4">
        <v>1</v>
      </c>
      <c r="K812" s="12">
        <v>4</v>
      </c>
      <c r="L812" s="46" t="s">
        <v>510</v>
      </c>
      <c r="M812" s="47" t="s">
        <v>222</v>
      </c>
      <c r="N812" s="47" t="s">
        <v>235</v>
      </c>
      <c r="O812" s="47" t="s">
        <v>243</v>
      </c>
      <c r="P812" s="3"/>
      <c r="Q812" s="125">
        <f>Q813+Q814+Q815</f>
        <v>3580.7000000000003</v>
      </c>
      <c r="R812" s="125">
        <f>R813+R814+R815</f>
        <v>3433.8</v>
      </c>
    </row>
    <row r="813" spans="8:18" ht="18.75">
      <c r="H813" s="8" t="s">
        <v>210</v>
      </c>
      <c r="I813" s="3">
        <v>673</v>
      </c>
      <c r="J813" s="4">
        <v>1</v>
      </c>
      <c r="K813" s="12">
        <v>4</v>
      </c>
      <c r="L813" s="46" t="s">
        <v>510</v>
      </c>
      <c r="M813" s="47" t="s">
        <v>222</v>
      </c>
      <c r="N813" s="47" t="s">
        <v>235</v>
      </c>
      <c r="O813" s="47" t="s">
        <v>243</v>
      </c>
      <c r="P813" s="3">
        <v>120</v>
      </c>
      <c r="Q813" s="125">
        <f>1583+454.5-87+87-74-114.6-11.8-3.6-6.8+10.4+161.4+13.1+159.3+4-13.1-4+9.7+128-87.5</f>
        <v>2208.0000000000005</v>
      </c>
      <c r="R813" s="125">
        <v>2208</v>
      </c>
    </row>
    <row r="814" spans="8:18" ht="18.75">
      <c r="H814" s="2" t="s">
        <v>277</v>
      </c>
      <c r="I814" s="9">
        <v>673</v>
      </c>
      <c r="J814" s="4">
        <v>1</v>
      </c>
      <c r="K814" s="12">
        <v>4</v>
      </c>
      <c r="L814" s="46" t="s">
        <v>510</v>
      </c>
      <c r="M814" s="47" t="s">
        <v>222</v>
      </c>
      <c r="N814" s="47" t="s">
        <v>235</v>
      </c>
      <c r="O814" s="47" t="s">
        <v>243</v>
      </c>
      <c r="P814" s="3">
        <v>240</v>
      </c>
      <c r="Q814" s="125">
        <f>400+690+68.5-75.5+87+7+114.6+11.8+5+43.5-6.2+19.5-60</f>
        <v>1305.1999999999998</v>
      </c>
      <c r="R814" s="125">
        <v>1158.3</v>
      </c>
    </row>
    <row r="815" spans="8:18" ht="18.75">
      <c r="H815" s="2" t="s">
        <v>278</v>
      </c>
      <c r="I815" s="9">
        <v>673</v>
      </c>
      <c r="J815" s="4">
        <v>1</v>
      </c>
      <c r="K815" s="12">
        <v>4</v>
      </c>
      <c r="L815" s="46" t="s">
        <v>510</v>
      </c>
      <c r="M815" s="47" t="s">
        <v>222</v>
      </c>
      <c r="N815" s="47" t="s">
        <v>235</v>
      </c>
      <c r="O815" s="47" t="s">
        <v>243</v>
      </c>
      <c r="P815" s="3">
        <v>850</v>
      </c>
      <c r="Q815" s="125">
        <f>7+57+8.5+2-6.3-0.7</f>
        <v>67.5</v>
      </c>
      <c r="R815" s="125">
        <v>67.5</v>
      </c>
    </row>
    <row r="816" spans="8:18" ht="31.5">
      <c r="H816" s="271" t="s">
        <v>353</v>
      </c>
      <c r="I816" s="3">
        <v>673</v>
      </c>
      <c r="J816" s="4">
        <v>1</v>
      </c>
      <c r="K816" s="12">
        <v>4</v>
      </c>
      <c r="L816" s="46" t="s">
        <v>510</v>
      </c>
      <c r="M816" s="47" t="s">
        <v>222</v>
      </c>
      <c r="N816" s="47" t="s">
        <v>235</v>
      </c>
      <c r="O816" s="47" t="s">
        <v>352</v>
      </c>
      <c r="P816" s="3"/>
      <c r="Q816" s="125">
        <f>Q817</f>
        <v>1690</v>
      </c>
      <c r="R816" s="125">
        <f>R817</f>
        <v>1690</v>
      </c>
    </row>
    <row r="817" spans="8:18" ht="18.75">
      <c r="H817" s="8" t="s">
        <v>210</v>
      </c>
      <c r="I817" s="3">
        <v>673</v>
      </c>
      <c r="J817" s="4">
        <v>1</v>
      </c>
      <c r="K817" s="12">
        <v>4</v>
      </c>
      <c r="L817" s="46" t="s">
        <v>510</v>
      </c>
      <c r="M817" s="47" t="s">
        <v>222</v>
      </c>
      <c r="N817" s="47" t="s">
        <v>235</v>
      </c>
      <c r="O817" s="47" t="s">
        <v>352</v>
      </c>
      <c r="P817" s="3">
        <v>120</v>
      </c>
      <c r="Q817" s="125">
        <v>1690</v>
      </c>
      <c r="R817" s="125">
        <v>1690</v>
      </c>
    </row>
    <row r="818" spans="8:18" ht="19.5">
      <c r="H818" s="76" t="s">
        <v>212</v>
      </c>
      <c r="I818" s="77">
        <v>673</v>
      </c>
      <c r="J818" s="78">
        <v>1</v>
      </c>
      <c r="K818" s="78">
        <v>13</v>
      </c>
      <c r="L818" s="79"/>
      <c r="M818" s="80"/>
      <c r="N818" s="80"/>
      <c r="O818" s="80"/>
      <c r="P818" s="85"/>
      <c r="Q818" s="126">
        <f aca="true" t="shared" si="34" ref="Q818:R821">Q819</f>
        <v>84.39999999999999</v>
      </c>
      <c r="R818" s="126">
        <f t="shared" si="34"/>
        <v>84.4</v>
      </c>
    </row>
    <row r="819" spans="8:18" ht="31.5">
      <c r="H819" s="2" t="s">
        <v>509</v>
      </c>
      <c r="I819" s="9">
        <v>673</v>
      </c>
      <c r="J819" s="4">
        <v>1</v>
      </c>
      <c r="K819" s="12">
        <v>13</v>
      </c>
      <c r="L819" s="46" t="s">
        <v>510</v>
      </c>
      <c r="M819" s="47" t="s">
        <v>222</v>
      </c>
      <c r="N819" s="47" t="s">
        <v>231</v>
      </c>
      <c r="O819" s="47" t="s">
        <v>240</v>
      </c>
      <c r="P819" s="3"/>
      <c r="Q819" s="125">
        <f t="shared" si="34"/>
        <v>84.39999999999999</v>
      </c>
      <c r="R819" s="125">
        <f t="shared" si="34"/>
        <v>84.4</v>
      </c>
    </row>
    <row r="820" spans="8:18" ht="31.5">
      <c r="H820" s="2" t="s">
        <v>692</v>
      </c>
      <c r="I820" s="9">
        <v>673</v>
      </c>
      <c r="J820" s="4">
        <v>1</v>
      </c>
      <c r="K820" s="12">
        <v>13</v>
      </c>
      <c r="L820" s="46" t="s">
        <v>510</v>
      </c>
      <c r="M820" s="47" t="s">
        <v>222</v>
      </c>
      <c r="N820" s="47" t="s">
        <v>235</v>
      </c>
      <c r="O820" s="47" t="s">
        <v>240</v>
      </c>
      <c r="P820" s="3"/>
      <c r="Q820" s="125">
        <f t="shared" si="34"/>
        <v>84.39999999999999</v>
      </c>
      <c r="R820" s="125">
        <f t="shared" si="34"/>
        <v>84.4</v>
      </c>
    </row>
    <row r="821" spans="8:18" ht="18.75">
      <c r="H821" s="246" t="s">
        <v>456</v>
      </c>
      <c r="I821" s="9">
        <v>673</v>
      </c>
      <c r="J821" s="4">
        <v>1</v>
      </c>
      <c r="K821" s="12">
        <v>13</v>
      </c>
      <c r="L821" s="46" t="s">
        <v>510</v>
      </c>
      <c r="M821" s="47" t="s">
        <v>222</v>
      </c>
      <c r="N821" s="47" t="s">
        <v>235</v>
      </c>
      <c r="O821" s="47" t="s">
        <v>521</v>
      </c>
      <c r="P821" s="3"/>
      <c r="Q821" s="125">
        <f t="shared" si="34"/>
        <v>84.39999999999999</v>
      </c>
      <c r="R821" s="125">
        <f t="shared" si="34"/>
        <v>84.4</v>
      </c>
    </row>
    <row r="822" spans="8:18" ht="18.75">
      <c r="H822" s="2" t="s">
        <v>277</v>
      </c>
      <c r="I822" s="9">
        <v>673</v>
      </c>
      <c r="J822" s="4">
        <v>1</v>
      </c>
      <c r="K822" s="12">
        <v>13</v>
      </c>
      <c r="L822" s="46" t="s">
        <v>510</v>
      </c>
      <c r="M822" s="47" t="s">
        <v>222</v>
      </c>
      <c r="N822" s="47" t="s">
        <v>235</v>
      </c>
      <c r="O822" s="47" t="s">
        <v>521</v>
      </c>
      <c r="P822" s="3">
        <v>240</v>
      </c>
      <c r="Q822" s="125">
        <f>74+3.6+6.8</f>
        <v>84.39999999999999</v>
      </c>
      <c r="R822" s="125">
        <v>84.4</v>
      </c>
    </row>
    <row r="823" spans="8:18" ht="18.75">
      <c r="H823" s="259" t="s">
        <v>628</v>
      </c>
      <c r="I823" s="6">
        <v>673</v>
      </c>
      <c r="J823" s="272">
        <v>2</v>
      </c>
      <c r="K823" s="42"/>
      <c r="L823" s="46"/>
      <c r="M823" s="47"/>
      <c r="N823" s="47"/>
      <c r="O823" s="47"/>
      <c r="P823" s="3"/>
      <c r="Q823" s="125">
        <f aca="true" t="shared" si="35" ref="Q823:R827">Q824</f>
        <v>249.1</v>
      </c>
      <c r="R823" s="125">
        <f t="shared" si="35"/>
        <v>249.1</v>
      </c>
    </row>
    <row r="824" spans="8:18" ht="18.75">
      <c r="H824" s="88" t="s">
        <v>629</v>
      </c>
      <c r="I824" s="6">
        <v>673</v>
      </c>
      <c r="J824" s="272">
        <v>2</v>
      </c>
      <c r="K824" s="42">
        <v>3</v>
      </c>
      <c r="L824" s="46"/>
      <c r="M824" s="47"/>
      <c r="N824" s="47"/>
      <c r="O824" s="47"/>
      <c r="P824" s="3"/>
      <c r="Q824" s="125">
        <f t="shared" si="35"/>
        <v>249.1</v>
      </c>
      <c r="R824" s="125">
        <f t="shared" si="35"/>
        <v>249.1</v>
      </c>
    </row>
    <row r="825" spans="8:18" ht="31.5">
      <c r="H825" s="8" t="s">
        <v>509</v>
      </c>
      <c r="I825" s="3">
        <v>673</v>
      </c>
      <c r="J825" s="4">
        <v>2</v>
      </c>
      <c r="K825" s="12">
        <v>3</v>
      </c>
      <c r="L825" s="46" t="s">
        <v>510</v>
      </c>
      <c r="M825" s="47" t="s">
        <v>222</v>
      </c>
      <c r="N825" s="47" t="s">
        <v>235</v>
      </c>
      <c r="O825" s="47" t="s">
        <v>240</v>
      </c>
      <c r="P825" s="3"/>
      <c r="Q825" s="125">
        <f t="shared" si="35"/>
        <v>249.1</v>
      </c>
      <c r="R825" s="125">
        <f t="shared" si="35"/>
        <v>249.1</v>
      </c>
    </row>
    <row r="826" spans="8:18" ht="31.5">
      <c r="H826" s="8" t="s">
        <v>693</v>
      </c>
      <c r="I826" s="3">
        <v>673</v>
      </c>
      <c r="J826" s="4">
        <v>2</v>
      </c>
      <c r="K826" s="12">
        <v>3</v>
      </c>
      <c r="L826" s="46" t="s">
        <v>510</v>
      </c>
      <c r="M826" s="47" t="s">
        <v>222</v>
      </c>
      <c r="N826" s="47" t="s">
        <v>235</v>
      </c>
      <c r="O826" s="47" t="s">
        <v>632</v>
      </c>
      <c r="P826" s="3"/>
      <c r="Q826" s="125">
        <f t="shared" si="35"/>
        <v>249.1</v>
      </c>
      <c r="R826" s="125">
        <f t="shared" si="35"/>
        <v>249.1</v>
      </c>
    </row>
    <row r="827" spans="8:18" ht="31.5">
      <c r="H827" s="173" t="s">
        <v>631</v>
      </c>
      <c r="I827" s="3">
        <v>673</v>
      </c>
      <c r="J827" s="4">
        <v>2</v>
      </c>
      <c r="K827" s="12">
        <v>3</v>
      </c>
      <c r="L827" s="46" t="s">
        <v>510</v>
      </c>
      <c r="M827" s="47" t="s">
        <v>222</v>
      </c>
      <c r="N827" s="47" t="s">
        <v>235</v>
      </c>
      <c r="O827" s="47" t="s">
        <v>632</v>
      </c>
      <c r="P827" s="3"/>
      <c r="Q827" s="125">
        <f t="shared" si="35"/>
        <v>249.1</v>
      </c>
      <c r="R827" s="125">
        <f t="shared" si="35"/>
        <v>249.1</v>
      </c>
    </row>
    <row r="828" spans="8:18" ht="18.75">
      <c r="H828" s="8" t="s">
        <v>210</v>
      </c>
      <c r="I828" s="3">
        <v>673</v>
      </c>
      <c r="J828" s="4">
        <v>2</v>
      </c>
      <c r="K828" s="12">
        <v>3</v>
      </c>
      <c r="L828" s="46" t="s">
        <v>510</v>
      </c>
      <c r="M828" s="47" t="s">
        <v>222</v>
      </c>
      <c r="N828" s="47" t="s">
        <v>235</v>
      </c>
      <c r="O828" s="47" t="s">
        <v>632</v>
      </c>
      <c r="P828" s="3">
        <v>120</v>
      </c>
      <c r="Q828" s="125">
        <v>249.1</v>
      </c>
      <c r="R828" s="125">
        <v>249.1</v>
      </c>
    </row>
    <row r="829" spans="8:18" ht="18.75">
      <c r="H829" s="2" t="s">
        <v>523</v>
      </c>
      <c r="I829" s="6">
        <v>673</v>
      </c>
      <c r="J829" s="260">
        <v>3</v>
      </c>
      <c r="K829" s="42"/>
      <c r="L829" s="46"/>
      <c r="M829" s="47"/>
      <c r="N829" s="47"/>
      <c r="O829" s="47"/>
      <c r="P829" s="3"/>
      <c r="Q829" s="125">
        <f>Q835</f>
        <v>101.8</v>
      </c>
      <c r="R829" s="125">
        <f>R835</f>
        <v>101.8</v>
      </c>
    </row>
    <row r="830" spans="8:18" ht="31.5">
      <c r="H830" s="2" t="s">
        <v>633</v>
      </c>
      <c r="I830" s="6">
        <v>673</v>
      </c>
      <c r="J830" s="260">
        <v>3</v>
      </c>
      <c r="K830" s="42">
        <v>10</v>
      </c>
      <c r="L830" s="46"/>
      <c r="M830" s="47"/>
      <c r="N830" s="47"/>
      <c r="O830" s="47"/>
      <c r="P830" s="3"/>
      <c r="Q830" s="125">
        <f>Q835</f>
        <v>101.8</v>
      </c>
      <c r="R830" s="125">
        <f>R835</f>
        <v>101.8</v>
      </c>
    </row>
    <row r="831" spans="8:18" ht="31.5">
      <c r="H831" s="2" t="s">
        <v>518</v>
      </c>
      <c r="I831" s="3">
        <v>673</v>
      </c>
      <c r="J831" s="15">
        <v>3</v>
      </c>
      <c r="K831" s="12">
        <v>10</v>
      </c>
      <c r="L831" s="46" t="s">
        <v>519</v>
      </c>
      <c r="M831" s="47" t="s">
        <v>222</v>
      </c>
      <c r="N831" s="47" t="s">
        <v>231</v>
      </c>
      <c r="O831" s="47" t="s">
        <v>240</v>
      </c>
      <c r="P831" s="3"/>
      <c r="Q831" s="125">
        <f>Q835</f>
        <v>101.8</v>
      </c>
      <c r="R831" s="125">
        <f>R835</f>
        <v>101.8</v>
      </c>
    </row>
    <row r="832" spans="8:18" ht="31.5">
      <c r="H832" s="242" t="s">
        <v>525</v>
      </c>
      <c r="I832" s="3">
        <v>673</v>
      </c>
      <c r="J832" s="15">
        <v>3</v>
      </c>
      <c r="K832" s="12">
        <v>10</v>
      </c>
      <c r="L832" s="46" t="s">
        <v>634</v>
      </c>
      <c r="M832" s="47" t="s">
        <v>221</v>
      </c>
      <c r="N832" s="47" t="s">
        <v>222</v>
      </c>
      <c r="O832" s="47" t="s">
        <v>240</v>
      </c>
      <c r="P832" s="3"/>
      <c r="Q832" s="125">
        <f>Q835</f>
        <v>101.8</v>
      </c>
      <c r="R832" s="125">
        <f>R835</f>
        <v>101.8</v>
      </c>
    </row>
    <row r="833" spans="8:18" ht="31.5">
      <c r="H833" s="2" t="s">
        <v>635</v>
      </c>
      <c r="I833" s="3">
        <v>673</v>
      </c>
      <c r="J833" s="15">
        <v>3</v>
      </c>
      <c r="K833" s="12">
        <v>10</v>
      </c>
      <c r="L833" s="46" t="s">
        <v>519</v>
      </c>
      <c r="M833" s="47" t="s">
        <v>221</v>
      </c>
      <c r="N833" s="47" t="s">
        <v>234</v>
      </c>
      <c r="O833" s="47" t="s">
        <v>627</v>
      </c>
      <c r="P833" s="3"/>
      <c r="Q833" s="125">
        <f>Q835</f>
        <v>101.8</v>
      </c>
      <c r="R833" s="125">
        <f>R835</f>
        <v>101.8</v>
      </c>
    </row>
    <row r="834" spans="8:18" ht="18.75">
      <c r="H834" s="2" t="s">
        <v>636</v>
      </c>
      <c r="I834" s="3">
        <v>673</v>
      </c>
      <c r="J834" s="15">
        <v>3</v>
      </c>
      <c r="K834" s="12">
        <v>10</v>
      </c>
      <c r="L834" s="46" t="s">
        <v>519</v>
      </c>
      <c r="M834" s="47" t="s">
        <v>221</v>
      </c>
      <c r="N834" s="47" t="s">
        <v>234</v>
      </c>
      <c r="O834" s="47" t="s">
        <v>637</v>
      </c>
      <c r="P834" s="3"/>
      <c r="Q834" s="125">
        <f>Q835</f>
        <v>101.8</v>
      </c>
      <c r="R834" s="125">
        <f>R835</f>
        <v>101.8</v>
      </c>
    </row>
    <row r="835" spans="8:18" ht="18.75">
      <c r="H835" s="2" t="s">
        <v>277</v>
      </c>
      <c r="I835" s="3">
        <v>673</v>
      </c>
      <c r="J835" s="15">
        <v>3</v>
      </c>
      <c r="K835" s="12">
        <v>10</v>
      </c>
      <c r="L835" s="46" t="s">
        <v>519</v>
      </c>
      <c r="M835" s="47" t="s">
        <v>221</v>
      </c>
      <c r="N835" s="47" t="s">
        <v>234</v>
      </c>
      <c r="O835" s="47" t="s">
        <v>637</v>
      </c>
      <c r="P835" s="3">
        <v>240</v>
      </c>
      <c r="Q835" s="125">
        <f>250-150+1.8</f>
        <v>101.8</v>
      </c>
      <c r="R835" s="125">
        <v>101.8</v>
      </c>
    </row>
    <row r="836" spans="8:18" ht="19.5">
      <c r="H836" s="231" t="s">
        <v>535</v>
      </c>
      <c r="I836" s="85">
        <v>673</v>
      </c>
      <c r="J836" s="87">
        <v>4</v>
      </c>
      <c r="K836" s="78"/>
      <c r="L836" s="79"/>
      <c r="M836" s="80"/>
      <c r="N836" s="80"/>
      <c r="O836" s="80"/>
      <c r="P836" s="85"/>
      <c r="Q836" s="126">
        <f aca="true" t="shared" si="36" ref="Q836:R840">Q837</f>
        <v>1400</v>
      </c>
      <c r="R836" s="126">
        <f t="shared" si="36"/>
        <v>1379.1</v>
      </c>
    </row>
    <row r="837" spans="8:18" ht="19.5">
      <c r="H837" s="231" t="s">
        <v>62</v>
      </c>
      <c r="I837" s="85">
        <v>673</v>
      </c>
      <c r="J837" s="87">
        <v>4</v>
      </c>
      <c r="K837" s="78">
        <v>9</v>
      </c>
      <c r="L837" s="79"/>
      <c r="M837" s="80"/>
      <c r="N837" s="80"/>
      <c r="O837" s="80"/>
      <c r="P837" s="85"/>
      <c r="Q837" s="126">
        <f t="shared" si="36"/>
        <v>1400</v>
      </c>
      <c r="R837" s="126">
        <f t="shared" si="36"/>
        <v>1379.1</v>
      </c>
    </row>
    <row r="838" spans="8:18" ht="31.5">
      <c r="H838" s="117" t="s">
        <v>538</v>
      </c>
      <c r="I838" s="3">
        <v>673</v>
      </c>
      <c r="J838" s="4">
        <v>4</v>
      </c>
      <c r="K838" s="12">
        <v>9</v>
      </c>
      <c r="L838" s="46" t="s">
        <v>539</v>
      </c>
      <c r="M838" s="47" t="s">
        <v>222</v>
      </c>
      <c r="N838" s="47" t="s">
        <v>231</v>
      </c>
      <c r="O838" s="47" t="s">
        <v>240</v>
      </c>
      <c r="P838" s="3"/>
      <c r="Q838" s="125">
        <f t="shared" si="36"/>
        <v>1400</v>
      </c>
      <c r="R838" s="125">
        <f t="shared" si="36"/>
        <v>1379.1</v>
      </c>
    </row>
    <row r="839" spans="8:18" ht="18.75">
      <c r="H839" s="117" t="s">
        <v>314</v>
      </c>
      <c r="I839" s="3">
        <v>673</v>
      </c>
      <c r="J839" s="4">
        <v>4</v>
      </c>
      <c r="K839" s="12">
        <v>9</v>
      </c>
      <c r="L839" s="46" t="s">
        <v>539</v>
      </c>
      <c r="M839" s="47" t="s">
        <v>222</v>
      </c>
      <c r="N839" s="47" t="s">
        <v>235</v>
      </c>
      <c r="O839" s="47" t="s">
        <v>240</v>
      </c>
      <c r="P839" s="3"/>
      <c r="Q839" s="125">
        <f t="shared" si="36"/>
        <v>1400</v>
      </c>
      <c r="R839" s="125">
        <f t="shared" si="36"/>
        <v>1379.1</v>
      </c>
    </row>
    <row r="840" spans="8:18" ht="18.75">
      <c r="H840" s="8" t="s">
        <v>299</v>
      </c>
      <c r="I840" s="3">
        <v>673</v>
      </c>
      <c r="J840" s="4">
        <v>4</v>
      </c>
      <c r="K840" s="12">
        <v>9</v>
      </c>
      <c r="L840" s="46" t="s">
        <v>539</v>
      </c>
      <c r="M840" s="47" t="s">
        <v>222</v>
      </c>
      <c r="N840" s="47" t="s">
        <v>235</v>
      </c>
      <c r="O840" s="47" t="s">
        <v>298</v>
      </c>
      <c r="P840" s="3"/>
      <c r="Q840" s="125">
        <f t="shared" si="36"/>
        <v>1400</v>
      </c>
      <c r="R840" s="125">
        <f t="shared" si="36"/>
        <v>1379.1</v>
      </c>
    </row>
    <row r="841" spans="8:18" ht="18.75">
      <c r="H841" s="2" t="s">
        <v>277</v>
      </c>
      <c r="I841" s="5">
        <v>673</v>
      </c>
      <c r="J841" s="14">
        <v>4</v>
      </c>
      <c r="K841" s="12">
        <v>9</v>
      </c>
      <c r="L841" s="46" t="s">
        <v>539</v>
      </c>
      <c r="M841" s="47" t="s">
        <v>222</v>
      </c>
      <c r="N841" s="47" t="s">
        <v>235</v>
      </c>
      <c r="O841" s="47" t="s">
        <v>298</v>
      </c>
      <c r="P841" s="3">
        <v>240</v>
      </c>
      <c r="Q841" s="125">
        <f>1100+300</f>
        <v>1400</v>
      </c>
      <c r="R841" s="125">
        <v>1379.1</v>
      </c>
    </row>
    <row r="842" spans="8:18" ht="18.75">
      <c r="H842" s="255" t="s">
        <v>547</v>
      </c>
      <c r="I842" s="273">
        <v>673</v>
      </c>
      <c r="J842" s="274">
        <v>5</v>
      </c>
      <c r="K842" s="42"/>
      <c r="L842" s="43"/>
      <c r="M842" s="44"/>
      <c r="N842" s="44"/>
      <c r="O842" s="44"/>
      <c r="P842" s="6"/>
      <c r="Q842" s="127">
        <f>Q850+Q865+Q843</f>
        <v>6284.799999999999</v>
      </c>
      <c r="R842" s="127">
        <f>R850+R865+R843</f>
        <v>6112.4</v>
      </c>
    </row>
    <row r="843" spans="8:18" ht="18.75">
      <c r="H843" s="245" t="s">
        <v>290</v>
      </c>
      <c r="I843" s="77">
        <v>673</v>
      </c>
      <c r="J843" s="78">
        <v>5</v>
      </c>
      <c r="K843" s="78">
        <v>2</v>
      </c>
      <c r="L843" s="79"/>
      <c r="M843" s="80"/>
      <c r="N843" s="80"/>
      <c r="O843" s="80"/>
      <c r="P843" s="77"/>
      <c r="Q843" s="124">
        <f>Q844</f>
        <v>60</v>
      </c>
      <c r="R843" s="124">
        <f>R844</f>
        <v>60</v>
      </c>
    </row>
    <row r="844" spans="8:18" ht="31.5">
      <c r="H844" s="8" t="s">
        <v>509</v>
      </c>
      <c r="I844" s="7">
        <v>673</v>
      </c>
      <c r="J844" s="12">
        <v>5</v>
      </c>
      <c r="K844" s="12">
        <v>2</v>
      </c>
      <c r="L844" s="46" t="s">
        <v>510</v>
      </c>
      <c r="M844" s="47" t="s">
        <v>222</v>
      </c>
      <c r="N844" s="47" t="s">
        <v>231</v>
      </c>
      <c r="O844" s="47" t="s">
        <v>240</v>
      </c>
      <c r="P844" s="7"/>
      <c r="Q844" s="124">
        <f>Q845</f>
        <v>60</v>
      </c>
      <c r="R844" s="124">
        <f>R845</f>
        <v>60</v>
      </c>
    </row>
    <row r="845" spans="8:18" ht="31.5">
      <c r="H845" s="2" t="s">
        <v>692</v>
      </c>
      <c r="I845" s="7">
        <v>673</v>
      </c>
      <c r="J845" s="12">
        <v>5</v>
      </c>
      <c r="K845" s="12">
        <v>2</v>
      </c>
      <c r="L845" s="46" t="s">
        <v>510</v>
      </c>
      <c r="M845" s="47" t="s">
        <v>222</v>
      </c>
      <c r="N845" s="47" t="s">
        <v>235</v>
      </c>
      <c r="O845" s="47" t="s">
        <v>240</v>
      </c>
      <c r="P845" s="7"/>
      <c r="Q845" s="124">
        <f>Q848+Q846</f>
        <v>60</v>
      </c>
      <c r="R845" s="124">
        <f>R848+R846</f>
        <v>60</v>
      </c>
    </row>
    <row r="846" spans="8:18" ht="18.75" hidden="1">
      <c r="H846" s="2" t="s">
        <v>64</v>
      </c>
      <c r="I846" s="7">
        <v>673</v>
      </c>
      <c r="J846" s="12">
        <v>5</v>
      </c>
      <c r="K846" s="12">
        <v>2</v>
      </c>
      <c r="L846" s="46" t="s">
        <v>510</v>
      </c>
      <c r="M846" s="47" t="s">
        <v>222</v>
      </c>
      <c r="N846" s="47" t="s">
        <v>235</v>
      </c>
      <c r="O846" s="47" t="s">
        <v>243</v>
      </c>
      <c r="P846" s="7"/>
      <c r="Q846" s="345">
        <f>Q847</f>
        <v>0</v>
      </c>
      <c r="R846" s="124">
        <f>R847</f>
        <v>0</v>
      </c>
    </row>
    <row r="847" spans="8:18" ht="18.75" hidden="1">
      <c r="H847" s="2" t="s">
        <v>277</v>
      </c>
      <c r="I847" s="7">
        <v>673</v>
      </c>
      <c r="J847" s="12">
        <v>5</v>
      </c>
      <c r="K847" s="12">
        <v>2</v>
      </c>
      <c r="L847" s="46" t="s">
        <v>510</v>
      </c>
      <c r="M847" s="47" t="s">
        <v>222</v>
      </c>
      <c r="N847" s="47" t="s">
        <v>235</v>
      </c>
      <c r="O847" s="47" t="s">
        <v>243</v>
      </c>
      <c r="P847" s="7">
        <v>240</v>
      </c>
      <c r="Q847" s="345">
        <v>0</v>
      </c>
      <c r="R847" s="124"/>
    </row>
    <row r="848" spans="8:18" ht="18.75">
      <c r="H848" s="13" t="s">
        <v>456</v>
      </c>
      <c r="I848" s="7">
        <v>673</v>
      </c>
      <c r="J848" s="12">
        <v>5</v>
      </c>
      <c r="K848" s="12">
        <v>2</v>
      </c>
      <c r="L848" s="46" t="s">
        <v>510</v>
      </c>
      <c r="M848" s="47" t="s">
        <v>222</v>
      </c>
      <c r="N848" s="47" t="s">
        <v>235</v>
      </c>
      <c r="O848" s="47" t="s">
        <v>294</v>
      </c>
      <c r="P848" s="7"/>
      <c r="Q848" s="124">
        <f>Q849</f>
        <v>60</v>
      </c>
      <c r="R848" s="124">
        <f>R849</f>
        <v>60</v>
      </c>
    </row>
    <row r="849" spans="8:18" ht="18.75">
      <c r="H849" s="2" t="s">
        <v>277</v>
      </c>
      <c r="I849" s="7">
        <v>673</v>
      </c>
      <c r="J849" s="12">
        <v>5</v>
      </c>
      <c r="K849" s="12">
        <v>2</v>
      </c>
      <c r="L849" s="46" t="s">
        <v>510</v>
      </c>
      <c r="M849" s="47" t="s">
        <v>222</v>
      </c>
      <c r="N849" s="47" t="s">
        <v>235</v>
      </c>
      <c r="O849" s="47" t="s">
        <v>294</v>
      </c>
      <c r="P849" s="7">
        <v>240</v>
      </c>
      <c r="Q849" s="124">
        <f>593.9+42-575.9</f>
        <v>60</v>
      </c>
      <c r="R849" s="124">
        <v>60</v>
      </c>
    </row>
    <row r="850" spans="8:18" ht="18.75">
      <c r="H850" s="275" t="s">
        <v>22</v>
      </c>
      <c r="I850" s="6">
        <v>673</v>
      </c>
      <c r="J850" s="272">
        <v>5</v>
      </c>
      <c r="K850" s="42">
        <v>3</v>
      </c>
      <c r="L850" s="43"/>
      <c r="M850" s="44"/>
      <c r="N850" s="44"/>
      <c r="O850" s="44"/>
      <c r="P850" s="41"/>
      <c r="Q850" s="122">
        <f>Q855+Q851</f>
        <v>4828.2</v>
      </c>
      <c r="R850" s="122">
        <f>R855+R851</f>
        <v>4666.7</v>
      </c>
    </row>
    <row r="851" spans="8:18" ht="31.5">
      <c r="H851" s="8" t="s">
        <v>509</v>
      </c>
      <c r="I851" s="7">
        <v>673</v>
      </c>
      <c r="J851" s="12">
        <v>5</v>
      </c>
      <c r="K851" s="12">
        <v>3</v>
      </c>
      <c r="L851" s="46" t="s">
        <v>510</v>
      </c>
      <c r="M851" s="47" t="s">
        <v>222</v>
      </c>
      <c r="N851" s="47" t="s">
        <v>231</v>
      </c>
      <c r="O851" s="47" t="s">
        <v>240</v>
      </c>
      <c r="P851" s="41"/>
      <c r="Q851" s="124">
        <f aca="true" t="shared" si="37" ref="Q851:R853">Q852</f>
        <v>2359.6</v>
      </c>
      <c r="R851" s="124">
        <f t="shared" si="37"/>
        <v>2198.1</v>
      </c>
    </row>
    <row r="852" spans="8:18" ht="31.5">
      <c r="H852" s="2" t="s">
        <v>692</v>
      </c>
      <c r="I852" s="7">
        <v>673</v>
      </c>
      <c r="J852" s="12">
        <v>5</v>
      </c>
      <c r="K852" s="12">
        <v>3</v>
      </c>
      <c r="L852" s="46" t="s">
        <v>510</v>
      </c>
      <c r="M852" s="47" t="s">
        <v>222</v>
      </c>
      <c r="N852" s="47" t="s">
        <v>235</v>
      </c>
      <c r="O852" s="47" t="s">
        <v>240</v>
      </c>
      <c r="P852" s="41"/>
      <c r="Q852" s="124">
        <f t="shared" si="37"/>
        <v>2359.6</v>
      </c>
      <c r="R852" s="124">
        <f t="shared" si="37"/>
        <v>2198.1</v>
      </c>
    </row>
    <row r="853" spans="8:18" ht="18.75">
      <c r="H853" s="13" t="s">
        <v>456</v>
      </c>
      <c r="I853" s="7">
        <v>673</v>
      </c>
      <c r="J853" s="12">
        <v>5</v>
      </c>
      <c r="K853" s="12">
        <v>3</v>
      </c>
      <c r="L853" s="46" t="s">
        <v>510</v>
      </c>
      <c r="M853" s="47" t="s">
        <v>222</v>
      </c>
      <c r="N853" s="47" t="s">
        <v>235</v>
      </c>
      <c r="O853" s="47" t="s">
        <v>294</v>
      </c>
      <c r="P853" s="41"/>
      <c r="Q853" s="124">
        <f t="shared" si="37"/>
        <v>2359.6</v>
      </c>
      <c r="R853" s="124">
        <f t="shared" si="37"/>
        <v>2198.1</v>
      </c>
    </row>
    <row r="854" spans="8:18" ht="18.75">
      <c r="H854" s="2" t="s">
        <v>277</v>
      </c>
      <c r="I854" s="7">
        <v>673</v>
      </c>
      <c r="J854" s="12">
        <v>5</v>
      </c>
      <c r="K854" s="12">
        <v>3</v>
      </c>
      <c r="L854" s="46" t="s">
        <v>510</v>
      </c>
      <c r="M854" s="47" t="s">
        <v>222</v>
      </c>
      <c r="N854" s="47" t="s">
        <v>235</v>
      </c>
      <c r="O854" s="47" t="s">
        <v>294</v>
      </c>
      <c r="P854" s="7">
        <v>240</v>
      </c>
      <c r="Q854" s="124">
        <f>1343.7+575.9+440</f>
        <v>2359.6</v>
      </c>
      <c r="R854" s="124">
        <v>2198.1</v>
      </c>
    </row>
    <row r="855" spans="8:18" ht="31.5">
      <c r="H855" s="117" t="s">
        <v>575</v>
      </c>
      <c r="I855" s="3">
        <v>673</v>
      </c>
      <c r="J855" s="4">
        <v>5</v>
      </c>
      <c r="K855" s="12">
        <v>3</v>
      </c>
      <c r="L855" s="46" t="s">
        <v>576</v>
      </c>
      <c r="M855" s="47" t="s">
        <v>222</v>
      </c>
      <c r="N855" s="47" t="s">
        <v>231</v>
      </c>
      <c r="O855" s="47" t="s">
        <v>240</v>
      </c>
      <c r="P855" s="3"/>
      <c r="Q855" s="125">
        <f>Q859+Q862+Q856</f>
        <v>2468.6</v>
      </c>
      <c r="R855" s="125">
        <f>R859+R862+R856</f>
        <v>2468.6</v>
      </c>
    </row>
    <row r="856" spans="8:18" ht="31.5">
      <c r="H856" s="8" t="s">
        <v>577</v>
      </c>
      <c r="I856" s="3">
        <v>673</v>
      </c>
      <c r="J856" s="4">
        <v>5</v>
      </c>
      <c r="K856" s="12">
        <v>3</v>
      </c>
      <c r="L856" s="46" t="s">
        <v>576</v>
      </c>
      <c r="M856" s="47" t="s">
        <v>222</v>
      </c>
      <c r="N856" s="47" t="s">
        <v>223</v>
      </c>
      <c r="O856" s="47" t="s">
        <v>240</v>
      </c>
      <c r="P856" s="3"/>
      <c r="Q856" s="125">
        <f>Q857</f>
        <v>161.2</v>
      </c>
      <c r="R856" s="125">
        <f>R857</f>
        <v>161.2</v>
      </c>
    </row>
    <row r="857" spans="8:18" ht="18.75">
      <c r="H857" s="8" t="s">
        <v>694</v>
      </c>
      <c r="I857" s="3">
        <v>673</v>
      </c>
      <c r="J857" s="4">
        <v>5</v>
      </c>
      <c r="K857" s="12">
        <v>3</v>
      </c>
      <c r="L857" s="46" t="s">
        <v>576</v>
      </c>
      <c r="M857" s="47" t="s">
        <v>222</v>
      </c>
      <c r="N857" s="47" t="s">
        <v>223</v>
      </c>
      <c r="O857" s="47" t="s">
        <v>567</v>
      </c>
      <c r="P857" s="3"/>
      <c r="Q857" s="125">
        <f>Q858</f>
        <v>161.2</v>
      </c>
      <c r="R857" s="125">
        <f>R858</f>
        <v>161.2</v>
      </c>
    </row>
    <row r="858" spans="8:18" ht="18.75">
      <c r="H858" s="2" t="s">
        <v>277</v>
      </c>
      <c r="I858" s="3">
        <v>673</v>
      </c>
      <c r="J858" s="4">
        <v>5</v>
      </c>
      <c r="K858" s="12">
        <v>3</v>
      </c>
      <c r="L858" s="46" t="s">
        <v>576</v>
      </c>
      <c r="M858" s="47" t="s">
        <v>222</v>
      </c>
      <c r="N858" s="47" t="s">
        <v>223</v>
      </c>
      <c r="O858" s="47" t="s">
        <v>567</v>
      </c>
      <c r="P858" s="3">
        <v>240</v>
      </c>
      <c r="Q858" s="125">
        <f>200+50-92.4+3.6</f>
        <v>161.2</v>
      </c>
      <c r="R858" s="125">
        <v>161.2</v>
      </c>
    </row>
    <row r="859" spans="8:18" ht="18.75">
      <c r="H859" s="117" t="s">
        <v>579</v>
      </c>
      <c r="I859" s="3">
        <v>673</v>
      </c>
      <c r="J859" s="4">
        <v>5</v>
      </c>
      <c r="K859" s="12">
        <v>3</v>
      </c>
      <c r="L859" s="46" t="s">
        <v>576</v>
      </c>
      <c r="M859" s="47" t="s">
        <v>222</v>
      </c>
      <c r="N859" s="47" t="s">
        <v>235</v>
      </c>
      <c r="O859" s="47" t="s">
        <v>240</v>
      </c>
      <c r="P859" s="3"/>
      <c r="Q859" s="125">
        <f>Q860</f>
        <v>2237.9</v>
      </c>
      <c r="R859" s="125">
        <f>R860</f>
        <v>2237.9</v>
      </c>
    </row>
    <row r="860" spans="8:18" ht="18.75">
      <c r="H860" s="117" t="s">
        <v>580</v>
      </c>
      <c r="I860" s="3">
        <v>673</v>
      </c>
      <c r="J860" s="4">
        <v>5</v>
      </c>
      <c r="K860" s="12">
        <v>3</v>
      </c>
      <c r="L860" s="46" t="s">
        <v>576</v>
      </c>
      <c r="M860" s="47" t="s">
        <v>222</v>
      </c>
      <c r="N860" s="47" t="s">
        <v>235</v>
      </c>
      <c r="O860" s="47" t="s">
        <v>581</v>
      </c>
      <c r="P860" s="3"/>
      <c r="Q860" s="125">
        <f>Q861</f>
        <v>2237.9</v>
      </c>
      <c r="R860" s="125">
        <f>R861</f>
        <v>2237.9</v>
      </c>
    </row>
    <row r="861" spans="8:18" ht="18.75">
      <c r="H861" s="2" t="s">
        <v>277</v>
      </c>
      <c r="I861" s="3">
        <v>673</v>
      </c>
      <c r="J861" s="4">
        <v>5</v>
      </c>
      <c r="K861" s="12">
        <v>3</v>
      </c>
      <c r="L861" s="46" t="s">
        <v>576</v>
      </c>
      <c r="M861" s="47" t="s">
        <v>222</v>
      </c>
      <c r="N861" s="47" t="s">
        <v>235</v>
      </c>
      <c r="O861" s="47" t="s">
        <v>581</v>
      </c>
      <c r="P861" s="3">
        <v>240</v>
      </c>
      <c r="Q861" s="125">
        <f>1819.9+118+300</f>
        <v>2237.9</v>
      </c>
      <c r="R861" s="125">
        <v>2237.9</v>
      </c>
    </row>
    <row r="862" spans="8:18" ht="31.5">
      <c r="H862" s="117" t="s">
        <v>695</v>
      </c>
      <c r="I862" s="3">
        <v>673</v>
      </c>
      <c r="J862" s="4">
        <v>5</v>
      </c>
      <c r="K862" s="12">
        <v>3</v>
      </c>
      <c r="L862" s="46" t="s">
        <v>576</v>
      </c>
      <c r="M862" s="47" t="s">
        <v>222</v>
      </c>
      <c r="N862" s="47" t="s">
        <v>233</v>
      </c>
      <c r="O862" s="47" t="s">
        <v>240</v>
      </c>
      <c r="P862" s="3"/>
      <c r="Q862" s="125">
        <f>Q863</f>
        <v>69.5</v>
      </c>
      <c r="R862" s="125">
        <f>R863</f>
        <v>69.5</v>
      </c>
    </row>
    <row r="863" spans="8:18" ht="31.5">
      <c r="H863" s="117" t="s">
        <v>696</v>
      </c>
      <c r="I863" s="3">
        <v>673</v>
      </c>
      <c r="J863" s="4">
        <v>5</v>
      </c>
      <c r="K863" s="12">
        <v>3</v>
      </c>
      <c r="L863" s="46" t="s">
        <v>576</v>
      </c>
      <c r="M863" s="47" t="s">
        <v>222</v>
      </c>
      <c r="N863" s="47" t="s">
        <v>233</v>
      </c>
      <c r="O863" s="47" t="s">
        <v>697</v>
      </c>
      <c r="P863" s="3"/>
      <c r="Q863" s="125">
        <f>Q864</f>
        <v>69.5</v>
      </c>
      <c r="R863" s="125">
        <f>R864</f>
        <v>69.5</v>
      </c>
    </row>
    <row r="864" spans="8:18" ht="18.75">
      <c r="H864" s="2" t="s">
        <v>277</v>
      </c>
      <c r="I864" s="3">
        <v>673</v>
      </c>
      <c r="J864" s="4">
        <v>5</v>
      </c>
      <c r="K864" s="12">
        <v>3</v>
      </c>
      <c r="L864" s="46" t="s">
        <v>576</v>
      </c>
      <c r="M864" s="47" t="s">
        <v>222</v>
      </c>
      <c r="N864" s="47" t="s">
        <v>233</v>
      </c>
      <c r="O864" s="47" t="s">
        <v>697</v>
      </c>
      <c r="P864" s="3">
        <v>240</v>
      </c>
      <c r="Q864" s="125">
        <v>69.5</v>
      </c>
      <c r="R864" s="125">
        <v>69.5</v>
      </c>
    </row>
    <row r="865" spans="8:18" ht="19.5">
      <c r="H865" s="264" t="s">
        <v>242</v>
      </c>
      <c r="I865" s="85">
        <v>673</v>
      </c>
      <c r="J865" s="87">
        <v>5</v>
      </c>
      <c r="K865" s="78">
        <v>5</v>
      </c>
      <c r="L865" s="79"/>
      <c r="M865" s="80"/>
      <c r="N865" s="80"/>
      <c r="O865" s="80"/>
      <c r="P865" s="85"/>
      <c r="Q865" s="126">
        <f>Q866+Q870</f>
        <v>1396.6</v>
      </c>
      <c r="R865" s="126">
        <f>R866+R870</f>
        <v>1385.6999999999998</v>
      </c>
    </row>
    <row r="866" spans="8:18" ht="31.5">
      <c r="H866" s="2" t="s">
        <v>509</v>
      </c>
      <c r="I866" s="7">
        <v>673</v>
      </c>
      <c r="J866" s="12">
        <v>5</v>
      </c>
      <c r="K866" s="12">
        <v>5</v>
      </c>
      <c r="L866" s="46" t="s">
        <v>510</v>
      </c>
      <c r="M866" s="47" t="s">
        <v>222</v>
      </c>
      <c r="N866" s="47" t="s">
        <v>231</v>
      </c>
      <c r="O866" s="47" t="s">
        <v>240</v>
      </c>
      <c r="P866" s="3"/>
      <c r="Q866" s="125">
        <f aca="true" t="shared" si="38" ref="Q866:R868">Q867</f>
        <v>138.1</v>
      </c>
      <c r="R866" s="125">
        <f t="shared" si="38"/>
        <v>128.3</v>
      </c>
    </row>
    <row r="867" spans="8:18" ht="31.5">
      <c r="H867" s="2" t="s">
        <v>693</v>
      </c>
      <c r="I867" s="7">
        <v>673</v>
      </c>
      <c r="J867" s="12">
        <v>5</v>
      </c>
      <c r="K867" s="12">
        <v>5</v>
      </c>
      <c r="L867" s="46" t="s">
        <v>510</v>
      </c>
      <c r="M867" s="47" t="s">
        <v>222</v>
      </c>
      <c r="N867" s="47" t="s">
        <v>235</v>
      </c>
      <c r="O867" s="47" t="s">
        <v>240</v>
      </c>
      <c r="P867" s="7"/>
      <c r="Q867" s="124">
        <f t="shared" si="38"/>
        <v>138.1</v>
      </c>
      <c r="R867" s="124">
        <f t="shared" si="38"/>
        <v>128.3</v>
      </c>
    </row>
    <row r="868" spans="8:18" ht="47.25">
      <c r="H868" s="2" t="s">
        <v>658</v>
      </c>
      <c r="I868" s="7">
        <v>673</v>
      </c>
      <c r="J868" s="12">
        <v>5</v>
      </c>
      <c r="K868" s="12">
        <v>5</v>
      </c>
      <c r="L868" s="46" t="s">
        <v>510</v>
      </c>
      <c r="M868" s="47" t="s">
        <v>222</v>
      </c>
      <c r="N868" s="47" t="s">
        <v>235</v>
      </c>
      <c r="O868" s="47" t="s">
        <v>246</v>
      </c>
      <c r="P868" s="7"/>
      <c r="Q868" s="124">
        <f t="shared" si="38"/>
        <v>138.1</v>
      </c>
      <c r="R868" s="124">
        <f t="shared" si="38"/>
        <v>128.3</v>
      </c>
    </row>
    <row r="869" spans="8:18" ht="18.75">
      <c r="H869" s="2" t="s">
        <v>277</v>
      </c>
      <c r="I869" s="7">
        <v>673</v>
      </c>
      <c r="J869" s="12">
        <v>5</v>
      </c>
      <c r="K869" s="12">
        <v>5</v>
      </c>
      <c r="L869" s="46" t="s">
        <v>510</v>
      </c>
      <c r="M869" s="47" t="s">
        <v>222</v>
      </c>
      <c r="N869" s="47" t="s">
        <v>235</v>
      </c>
      <c r="O869" s="47" t="s">
        <v>246</v>
      </c>
      <c r="P869" s="7">
        <v>240</v>
      </c>
      <c r="Q869" s="124">
        <f>100+12.3+6+20.6-0.8</f>
        <v>138.1</v>
      </c>
      <c r="R869" s="124">
        <v>128.3</v>
      </c>
    </row>
    <row r="870" spans="8:18" ht="31.5">
      <c r="H870" s="2" t="s">
        <v>550</v>
      </c>
      <c r="I870" s="9">
        <v>673</v>
      </c>
      <c r="J870" s="4">
        <v>5</v>
      </c>
      <c r="K870" s="12">
        <v>5</v>
      </c>
      <c r="L870" s="46" t="s">
        <v>551</v>
      </c>
      <c r="M870" s="47" t="s">
        <v>222</v>
      </c>
      <c r="N870" s="47" t="s">
        <v>231</v>
      </c>
      <c r="O870" s="47" t="s">
        <v>240</v>
      </c>
      <c r="P870" s="7"/>
      <c r="Q870" s="124">
        <f>Q871</f>
        <v>1258.5</v>
      </c>
      <c r="R870" s="124">
        <f>R871</f>
        <v>1257.3999999999999</v>
      </c>
    </row>
    <row r="871" spans="8:18" ht="47.25">
      <c r="H871" s="2" t="s">
        <v>659</v>
      </c>
      <c r="I871" s="9">
        <v>673</v>
      </c>
      <c r="J871" s="4">
        <v>5</v>
      </c>
      <c r="K871" s="12">
        <v>5</v>
      </c>
      <c r="L871" s="46" t="s">
        <v>551</v>
      </c>
      <c r="M871" s="47" t="s">
        <v>222</v>
      </c>
      <c r="N871" s="47" t="s">
        <v>223</v>
      </c>
      <c r="O871" s="47" t="s">
        <v>240</v>
      </c>
      <c r="P871" s="7"/>
      <c r="Q871" s="124">
        <f>Q872</f>
        <v>1258.5</v>
      </c>
      <c r="R871" s="124">
        <f>R872</f>
        <v>1257.3999999999999</v>
      </c>
    </row>
    <row r="872" spans="8:18" ht="31.5">
      <c r="H872" s="2" t="s">
        <v>588</v>
      </c>
      <c r="I872" s="9">
        <v>673</v>
      </c>
      <c r="J872" s="4">
        <v>5</v>
      </c>
      <c r="K872" s="12">
        <v>5</v>
      </c>
      <c r="L872" s="46" t="s">
        <v>551</v>
      </c>
      <c r="M872" s="47" t="s">
        <v>222</v>
      </c>
      <c r="N872" s="47" t="s">
        <v>223</v>
      </c>
      <c r="O872" s="47" t="s">
        <v>10</v>
      </c>
      <c r="P872" s="7"/>
      <c r="Q872" s="124">
        <f>Q873+Q874</f>
        <v>1258.5</v>
      </c>
      <c r="R872" s="124">
        <f>R873+R874</f>
        <v>1257.3999999999999</v>
      </c>
    </row>
    <row r="873" spans="8:18" ht="18.75">
      <c r="H873" s="2" t="s">
        <v>277</v>
      </c>
      <c r="I873" s="9">
        <v>673</v>
      </c>
      <c r="J873" s="4">
        <v>5</v>
      </c>
      <c r="K873" s="12">
        <v>5</v>
      </c>
      <c r="L873" s="46" t="s">
        <v>551</v>
      </c>
      <c r="M873" s="47" t="s">
        <v>222</v>
      </c>
      <c r="N873" s="47" t="s">
        <v>223</v>
      </c>
      <c r="O873" s="47" t="s">
        <v>10</v>
      </c>
      <c r="P873" s="7">
        <v>240</v>
      </c>
      <c r="Q873" s="124">
        <f>700-154+148+345.8+180+47.5+29.2-20.6-2.2+2-31.3</f>
        <v>1244.4</v>
      </c>
      <c r="R873" s="124">
        <v>1243.3</v>
      </c>
    </row>
    <row r="874" spans="8:18" ht="18.75">
      <c r="H874" s="2" t="s">
        <v>278</v>
      </c>
      <c r="I874" s="3">
        <v>673</v>
      </c>
      <c r="J874" s="4">
        <v>5</v>
      </c>
      <c r="K874" s="12">
        <v>5</v>
      </c>
      <c r="L874" s="46" t="s">
        <v>551</v>
      </c>
      <c r="M874" s="47" t="s">
        <v>222</v>
      </c>
      <c r="N874" s="47" t="s">
        <v>223</v>
      </c>
      <c r="O874" s="47" t="s">
        <v>10</v>
      </c>
      <c r="P874" s="3">
        <v>850</v>
      </c>
      <c r="Q874" s="125">
        <f>6+18-9+0.2-1.1</f>
        <v>14.1</v>
      </c>
      <c r="R874" s="125">
        <v>14.1</v>
      </c>
    </row>
    <row r="875" spans="8:18" ht="19.5">
      <c r="H875" s="231" t="s">
        <v>589</v>
      </c>
      <c r="I875" s="77">
        <v>673</v>
      </c>
      <c r="J875" s="78">
        <v>6</v>
      </c>
      <c r="K875" s="78" t="s">
        <v>241</v>
      </c>
      <c r="L875" s="79"/>
      <c r="M875" s="80"/>
      <c r="N875" s="80"/>
      <c r="O875" s="80"/>
      <c r="P875" s="85"/>
      <c r="Q875" s="126">
        <f aca="true" t="shared" si="39" ref="Q875:R879">Q876</f>
        <v>3.2</v>
      </c>
      <c r="R875" s="126">
        <f t="shared" si="39"/>
        <v>3.2</v>
      </c>
    </row>
    <row r="876" spans="8:18" ht="19.5">
      <c r="H876" s="253" t="s">
        <v>217</v>
      </c>
      <c r="I876" s="77">
        <v>673</v>
      </c>
      <c r="J876" s="78">
        <v>6</v>
      </c>
      <c r="K876" s="78">
        <v>5</v>
      </c>
      <c r="L876" s="79"/>
      <c r="M876" s="80"/>
      <c r="N876" s="80"/>
      <c r="O876" s="80"/>
      <c r="P876" s="85"/>
      <c r="Q876" s="126">
        <f t="shared" si="39"/>
        <v>3.2</v>
      </c>
      <c r="R876" s="126">
        <f t="shared" si="39"/>
        <v>3.2</v>
      </c>
    </row>
    <row r="877" spans="8:18" ht="31.5">
      <c r="H877" s="8" t="s">
        <v>509</v>
      </c>
      <c r="I877" s="3">
        <v>673</v>
      </c>
      <c r="J877" s="14">
        <v>6</v>
      </c>
      <c r="K877" s="12">
        <v>5</v>
      </c>
      <c r="L877" s="46" t="s">
        <v>510</v>
      </c>
      <c r="M877" s="47" t="s">
        <v>222</v>
      </c>
      <c r="N877" s="47" t="s">
        <v>231</v>
      </c>
      <c r="O877" s="47" t="s">
        <v>240</v>
      </c>
      <c r="P877" s="3"/>
      <c r="Q877" s="125">
        <f t="shared" si="39"/>
        <v>3.2</v>
      </c>
      <c r="R877" s="125">
        <f t="shared" si="39"/>
        <v>3.2</v>
      </c>
    </row>
    <row r="878" spans="8:18" ht="31.5">
      <c r="H878" s="2" t="s">
        <v>693</v>
      </c>
      <c r="I878" s="3">
        <v>673</v>
      </c>
      <c r="J878" s="14">
        <v>6</v>
      </c>
      <c r="K878" s="12">
        <v>5</v>
      </c>
      <c r="L878" s="46" t="s">
        <v>510</v>
      </c>
      <c r="M878" s="47" t="s">
        <v>222</v>
      </c>
      <c r="N878" s="47" t="s">
        <v>235</v>
      </c>
      <c r="O878" s="47" t="s">
        <v>240</v>
      </c>
      <c r="P878" s="3"/>
      <c r="Q878" s="125">
        <f t="shared" si="39"/>
        <v>3.2</v>
      </c>
      <c r="R878" s="125">
        <f t="shared" si="39"/>
        <v>3.2</v>
      </c>
    </row>
    <row r="879" spans="8:18" ht="18.75">
      <c r="H879" s="241" t="s">
        <v>217</v>
      </c>
      <c r="I879" s="3">
        <v>673</v>
      </c>
      <c r="J879" s="14">
        <v>6</v>
      </c>
      <c r="K879" s="12">
        <v>5</v>
      </c>
      <c r="L879" s="46" t="s">
        <v>510</v>
      </c>
      <c r="M879" s="47" t="s">
        <v>222</v>
      </c>
      <c r="N879" s="47" t="s">
        <v>235</v>
      </c>
      <c r="O879" s="47" t="s">
        <v>419</v>
      </c>
      <c r="P879" s="3"/>
      <c r="Q879" s="125">
        <f t="shared" si="39"/>
        <v>3.2</v>
      </c>
      <c r="R879" s="125">
        <f t="shared" si="39"/>
        <v>3.2</v>
      </c>
    </row>
    <row r="880" spans="8:18" ht="18.75">
      <c r="H880" s="2" t="s">
        <v>278</v>
      </c>
      <c r="I880" s="3">
        <v>673</v>
      </c>
      <c r="J880" s="14">
        <v>6</v>
      </c>
      <c r="K880" s="12">
        <v>5</v>
      </c>
      <c r="L880" s="46" t="s">
        <v>510</v>
      </c>
      <c r="M880" s="47" t="s">
        <v>222</v>
      </c>
      <c r="N880" s="47" t="s">
        <v>235</v>
      </c>
      <c r="O880" s="47" t="s">
        <v>419</v>
      </c>
      <c r="P880" s="3">
        <v>850</v>
      </c>
      <c r="Q880" s="125">
        <f>4-0.8</f>
        <v>3.2</v>
      </c>
      <c r="R880" s="125">
        <v>3.2</v>
      </c>
    </row>
    <row r="881" spans="8:18" ht="19.5" hidden="1">
      <c r="H881" s="231" t="s">
        <v>504</v>
      </c>
      <c r="I881" s="276" t="s">
        <v>698</v>
      </c>
      <c r="J881" s="80" t="s">
        <v>601</v>
      </c>
      <c r="K881" s="79" t="s">
        <v>241</v>
      </c>
      <c r="L881" s="79"/>
      <c r="M881" s="80"/>
      <c r="N881" s="80"/>
      <c r="O881" s="80"/>
      <c r="P881" s="276"/>
      <c r="Q881" s="348">
        <v>0</v>
      </c>
      <c r="R881" s="126">
        <v>0</v>
      </c>
    </row>
    <row r="882" spans="8:18" ht="19.5" hidden="1">
      <c r="H882" s="253" t="s">
        <v>82</v>
      </c>
      <c r="I882" s="276" t="s">
        <v>698</v>
      </c>
      <c r="J882" s="80" t="s">
        <v>601</v>
      </c>
      <c r="K882" s="79" t="s">
        <v>223</v>
      </c>
      <c r="L882" s="79"/>
      <c r="M882" s="80"/>
      <c r="N882" s="80"/>
      <c r="O882" s="80"/>
      <c r="P882" s="276"/>
      <c r="Q882" s="348">
        <v>0</v>
      </c>
      <c r="R882" s="126">
        <v>0</v>
      </c>
    </row>
    <row r="883" spans="8:18" ht="31.5" hidden="1">
      <c r="H883" s="8" t="s">
        <v>509</v>
      </c>
      <c r="I883" s="277" t="s">
        <v>698</v>
      </c>
      <c r="J883" s="47" t="s">
        <v>601</v>
      </c>
      <c r="K883" s="46" t="s">
        <v>223</v>
      </c>
      <c r="L883" s="46" t="s">
        <v>510</v>
      </c>
      <c r="M883" s="47" t="s">
        <v>222</v>
      </c>
      <c r="N883" s="47" t="s">
        <v>231</v>
      </c>
      <c r="O883" s="47" t="s">
        <v>240</v>
      </c>
      <c r="P883" s="277"/>
      <c r="Q883" s="346">
        <v>0</v>
      </c>
      <c r="R883" s="125">
        <v>0</v>
      </c>
    </row>
    <row r="884" spans="8:18" ht="31.5" hidden="1">
      <c r="H884" s="2" t="s">
        <v>693</v>
      </c>
      <c r="I884" s="277" t="s">
        <v>698</v>
      </c>
      <c r="J884" s="47" t="s">
        <v>601</v>
      </c>
      <c r="K884" s="46" t="s">
        <v>223</v>
      </c>
      <c r="L884" s="46" t="s">
        <v>510</v>
      </c>
      <c r="M884" s="47" t="s">
        <v>222</v>
      </c>
      <c r="N884" s="47" t="s">
        <v>235</v>
      </c>
      <c r="O884" s="47" t="s">
        <v>240</v>
      </c>
      <c r="P884" s="277"/>
      <c r="Q884" s="346">
        <v>0</v>
      </c>
      <c r="R884" s="125">
        <v>0</v>
      </c>
    </row>
    <row r="885" spans="8:18" ht="18.75" hidden="1">
      <c r="H885" s="117" t="s">
        <v>612</v>
      </c>
      <c r="I885" s="3">
        <v>673</v>
      </c>
      <c r="J885" s="4">
        <v>10</v>
      </c>
      <c r="K885" s="12">
        <v>1</v>
      </c>
      <c r="L885" s="46" t="s">
        <v>510</v>
      </c>
      <c r="M885" s="47" t="s">
        <v>222</v>
      </c>
      <c r="N885" s="47" t="s">
        <v>235</v>
      </c>
      <c r="O885" s="47" t="s">
        <v>41</v>
      </c>
      <c r="P885" s="3"/>
      <c r="Q885" s="346">
        <v>0</v>
      </c>
      <c r="R885" s="125">
        <v>0</v>
      </c>
    </row>
    <row r="886" spans="8:18" ht="18.75" hidden="1">
      <c r="H886" s="13" t="s">
        <v>281</v>
      </c>
      <c r="I886" s="3">
        <v>673</v>
      </c>
      <c r="J886" s="4">
        <v>10</v>
      </c>
      <c r="K886" s="12">
        <v>1</v>
      </c>
      <c r="L886" s="46" t="s">
        <v>510</v>
      </c>
      <c r="M886" s="47" t="s">
        <v>222</v>
      </c>
      <c r="N886" s="47" t="s">
        <v>235</v>
      </c>
      <c r="O886" s="47" t="s">
        <v>41</v>
      </c>
      <c r="P886" s="3">
        <v>310</v>
      </c>
      <c r="Q886" s="346">
        <v>0</v>
      </c>
      <c r="R886" s="125"/>
    </row>
    <row r="887" spans="8:18" ht="16.5">
      <c r="H887" s="278" t="s">
        <v>699</v>
      </c>
      <c r="I887" s="235">
        <v>674</v>
      </c>
      <c r="J887" s="279"/>
      <c r="K887" s="11"/>
      <c r="L887" s="72"/>
      <c r="M887" s="73"/>
      <c r="N887" s="73"/>
      <c r="O887" s="73"/>
      <c r="P887" s="18"/>
      <c r="Q887" s="237">
        <f>Q888+Q918+Q924+Q957+Q905+Q911</f>
        <v>23391.899999999998</v>
      </c>
      <c r="R887" s="237">
        <f>R888+R918+R924+R957+R905+R911</f>
        <v>22692.799999999996</v>
      </c>
    </row>
    <row r="888" spans="8:18" ht="19.5">
      <c r="H888" s="231" t="s">
        <v>502</v>
      </c>
      <c r="I888" s="91">
        <v>674</v>
      </c>
      <c r="J888" s="86">
        <v>1</v>
      </c>
      <c r="K888" s="78"/>
      <c r="L888" s="79"/>
      <c r="M888" s="80"/>
      <c r="N888" s="80"/>
      <c r="O888" s="80"/>
      <c r="P888" s="85"/>
      <c r="Q888" s="126">
        <f>Q889+Q900</f>
        <v>7122</v>
      </c>
      <c r="R888" s="126">
        <f>R889+R900</f>
        <v>7082.4</v>
      </c>
    </row>
    <row r="889" spans="8:18" ht="31.5">
      <c r="H889" s="169" t="s">
        <v>512</v>
      </c>
      <c r="I889" s="91">
        <v>674</v>
      </c>
      <c r="J889" s="86">
        <v>1</v>
      </c>
      <c r="K889" s="78">
        <v>4</v>
      </c>
      <c r="L889" s="79"/>
      <c r="M889" s="80"/>
      <c r="N889" s="80"/>
      <c r="O889" s="80"/>
      <c r="P889" s="85"/>
      <c r="Q889" s="126">
        <f>Q890</f>
        <v>6975.3</v>
      </c>
      <c r="R889" s="126">
        <f>R890</f>
        <v>6935.7</v>
      </c>
    </row>
    <row r="890" spans="8:18" ht="31.5">
      <c r="H890" s="2" t="s">
        <v>509</v>
      </c>
      <c r="I890" s="5">
        <v>674</v>
      </c>
      <c r="J890" s="14">
        <v>1</v>
      </c>
      <c r="K890" s="12">
        <v>4</v>
      </c>
      <c r="L890" s="46" t="s">
        <v>510</v>
      </c>
      <c r="M890" s="47" t="s">
        <v>222</v>
      </c>
      <c r="N890" s="47" t="s">
        <v>231</v>
      </c>
      <c r="O890" s="47" t="s">
        <v>240</v>
      </c>
      <c r="P890" s="3"/>
      <c r="Q890" s="125">
        <f>Q891</f>
        <v>6975.3</v>
      </c>
      <c r="R890" s="125">
        <f>R891</f>
        <v>6935.7</v>
      </c>
    </row>
    <row r="891" spans="8:18" ht="31.5">
      <c r="H891" s="2" t="s">
        <v>700</v>
      </c>
      <c r="I891" s="5">
        <v>674</v>
      </c>
      <c r="J891" s="14">
        <v>1</v>
      </c>
      <c r="K891" s="12">
        <v>4</v>
      </c>
      <c r="L891" s="46" t="s">
        <v>510</v>
      </c>
      <c r="M891" s="47" t="s">
        <v>222</v>
      </c>
      <c r="N891" s="47" t="s">
        <v>233</v>
      </c>
      <c r="O891" s="47" t="s">
        <v>240</v>
      </c>
      <c r="P891" s="3"/>
      <c r="Q891" s="125">
        <f>Q892+Q898+Q896</f>
        <v>6975.3</v>
      </c>
      <c r="R891" s="125">
        <f>R892+R898+R896</f>
        <v>6935.7</v>
      </c>
    </row>
    <row r="892" spans="8:18" ht="18.75">
      <c r="H892" s="2" t="s">
        <v>64</v>
      </c>
      <c r="I892" s="5">
        <v>674</v>
      </c>
      <c r="J892" s="14">
        <v>1</v>
      </c>
      <c r="K892" s="12">
        <v>4</v>
      </c>
      <c r="L892" s="46" t="s">
        <v>510</v>
      </c>
      <c r="M892" s="47" t="s">
        <v>222</v>
      </c>
      <c r="N892" s="47" t="s">
        <v>233</v>
      </c>
      <c r="O892" s="47" t="s">
        <v>243</v>
      </c>
      <c r="P892" s="3"/>
      <c r="Q892" s="125">
        <f>Q893+Q894+Q895</f>
        <v>4570.5</v>
      </c>
      <c r="R892" s="125">
        <f>R893+R894+R895</f>
        <v>4530.9</v>
      </c>
    </row>
    <row r="893" spans="8:18" ht="18.75">
      <c r="H893" s="8" t="s">
        <v>210</v>
      </c>
      <c r="I893" s="3">
        <v>674</v>
      </c>
      <c r="J893" s="14">
        <v>1</v>
      </c>
      <c r="K893" s="12">
        <v>4</v>
      </c>
      <c r="L893" s="46" t="s">
        <v>510</v>
      </c>
      <c r="M893" s="47" t="s">
        <v>222</v>
      </c>
      <c r="N893" s="47" t="s">
        <v>233</v>
      </c>
      <c r="O893" s="47" t="s">
        <v>243</v>
      </c>
      <c r="P893" s="3">
        <v>120</v>
      </c>
      <c r="Q893" s="125">
        <f>3761.8-345.8-104.5-58.5+58.5-103-80+404.3+13.1+171+4-13.1-3.9-12.5+38-8.2-17.3</f>
        <v>3703.9</v>
      </c>
      <c r="R893" s="125">
        <v>3703.9</v>
      </c>
    </row>
    <row r="894" spans="8:18" ht="18.75">
      <c r="H894" s="2" t="s">
        <v>277</v>
      </c>
      <c r="I894" s="5">
        <v>674</v>
      </c>
      <c r="J894" s="14">
        <v>1</v>
      </c>
      <c r="K894" s="12">
        <v>4</v>
      </c>
      <c r="L894" s="46" t="s">
        <v>510</v>
      </c>
      <c r="M894" s="47" t="s">
        <v>222</v>
      </c>
      <c r="N894" s="47" t="s">
        <v>233</v>
      </c>
      <c r="O894" s="47" t="s">
        <v>243</v>
      </c>
      <c r="P894" s="3">
        <v>240</v>
      </c>
      <c r="Q894" s="125">
        <f>500+209-458+240+58.5+112+62.5+120-10.4+8.2</f>
        <v>841.8000000000001</v>
      </c>
      <c r="R894" s="125">
        <v>806.1</v>
      </c>
    </row>
    <row r="895" spans="8:18" ht="18.75">
      <c r="H895" s="2" t="s">
        <v>278</v>
      </c>
      <c r="I895" s="5">
        <v>674</v>
      </c>
      <c r="J895" s="14">
        <v>1</v>
      </c>
      <c r="K895" s="12">
        <v>4</v>
      </c>
      <c r="L895" s="46" t="s">
        <v>510</v>
      </c>
      <c r="M895" s="47" t="s">
        <v>222</v>
      </c>
      <c r="N895" s="47" t="s">
        <v>233</v>
      </c>
      <c r="O895" s="47" t="s">
        <v>243</v>
      </c>
      <c r="P895" s="3">
        <v>850</v>
      </c>
      <c r="Q895" s="125">
        <f>9+24-8.2</f>
        <v>24.8</v>
      </c>
      <c r="R895" s="125">
        <v>20.9</v>
      </c>
    </row>
    <row r="896" spans="8:18" ht="31.5">
      <c r="H896" s="2" t="s">
        <v>458</v>
      </c>
      <c r="I896" s="5">
        <v>674</v>
      </c>
      <c r="J896" s="14">
        <v>1</v>
      </c>
      <c r="K896" s="12">
        <v>4</v>
      </c>
      <c r="L896" s="46" t="s">
        <v>510</v>
      </c>
      <c r="M896" s="47" t="s">
        <v>222</v>
      </c>
      <c r="N896" s="47" t="s">
        <v>233</v>
      </c>
      <c r="O896" s="47" t="s">
        <v>457</v>
      </c>
      <c r="P896" s="3"/>
      <c r="Q896" s="125">
        <f>Q897</f>
        <v>34.1</v>
      </c>
      <c r="R896" s="125">
        <f>R897</f>
        <v>34.1</v>
      </c>
    </row>
    <row r="897" spans="8:18" ht="18.75">
      <c r="H897" s="2" t="s">
        <v>210</v>
      </c>
      <c r="I897" s="3">
        <v>674</v>
      </c>
      <c r="J897" s="14">
        <v>1</v>
      </c>
      <c r="K897" s="12">
        <v>4</v>
      </c>
      <c r="L897" s="46" t="s">
        <v>510</v>
      </c>
      <c r="M897" s="47" t="s">
        <v>222</v>
      </c>
      <c r="N897" s="47" t="s">
        <v>233</v>
      </c>
      <c r="O897" s="47" t="s">
        <v>457</v>
      </c>
      <c r="P897" s="3">
        <v>120</v>
      </c>
      <c r="Q897" s="125">
        <f>26.2+7.9</f>
        <v>34.1</v>
      </c>
      <c r="R897" s="125">
        <v>34.1</v>
      </c>
    </row>
    <row r="898" spans="8:18" ht="31.5">
      <c r="H898" s="2" t="s">
        <v>353</v>
      </c>
      <c r="I898" s="5">
        <v>674</v>
      </c>
      <c r="J898" s="14">
        <v>1</v>
      </c>
      <c r="K898" s="12">
        <v>4</v>
      </c>
      <c r="L898" s="46" t="s">
        <v>510</v>
      </c>
      <c r="M898" s="47" t="s">
        <v>222</v>
      </c>
      <c r="N898" s="47" t="s">
        <v>233</v>
      </c>
      <c r="O898" s="47" t="s">
        <v>352</v>
      </c>
      <c r="P898" s="3"/>
      <c r="Q898" s="125">
        <f>Q899</f>
        <v>2370.7</v>
      </c>
      <c r="R898" s="125">
        <f>R899</f>
        <v>2370.7</v>
      </c>
    </row>
    <row r="899" spans="8:18" ht="18.75">
      <c r="H899" s="8" t="s">
        <v>210</v>
      </c>
      <c r="I899" s="3">
        <v>674</v>
      </c>
      <c r="J899" s="14">
        <v>1</v>
      </c>
      <c r="K899" s="12">
        <v>4</v>
      </c>
      <c r="L899" s="46" t="s">
        <v>510</v>
      </c>
      <c r="M899" s="47" t="s">
        <v>222</v>
      </c>
      <c r="N899" s="47" t="s">
        <v>233</v>
      </c>
      <c r="O899" s="47" t="s">
        <v>352</v>
      </c>
      <c r="P899" s="3">
        <v>120</v>
      </c>
      <c r="Q899" s="125">
        <v>2370.7</v>
      </c>
      <c r="R899" s="125">
        <v>2370.7</v>
      </c>
    </row>
    <row r="900" spans="8:18" ht="19.5">
      <c r="H900" s="76" t="s">
        <v>212</v>
      </c>
      <c r="I900" s="77">
        <v>673</v>
      </c>
      <c r="J900" s="78">
        <v>1</v>
      </c>
      <c r="K900" s="78">
        <v>13</v>
      </c>
      <c r="L900" s="79"/>
      <c r="M900" s="80"/>
      <c r="N900" s="80"/>
      <c r="O900" s="80"/>
      <c r="P900" s="85"/>
      <c r="Q900" s="126">
        <f aca="true" t="shared" si="40" ref="Q900:R903">Q901</f>
        <v>146.70000000000002</v>
      </c>
      <c r="R900" s="126">
        <f t="shared" si="40"/>
        <v>146.7</v>
      </c>
    </row>
    <row r="901" spans="8:18" ht="31.5">
      <c r="H901" s="2" t="s">
        <v>509</v>
      </c>
      <c r="I901" s="5">
        <v>674</v>
      </c>
      <c r="J901" s="14">
        <v>1</v>
      </c>
      <c r="K901" s="12">
        <v>13</v>
      </c>
      <c r="L901" s="46" t="s">
        <v>510</v>
      </c>
      <c r="M901" s="47" t="s">
        <v>222</v>
      </c>
      <c r="N901" s="47" t="s">
        <v>231</v>
      </c>
      <c r="O901" s="47" t="s">
        <v>240</v>
      </c>
      <c r="P901" s="3"/>
      <c r="Q901" s="125">
        <f t="shared" si="40"/>
        <v>146.70000000000002</v>
      </c>
      <c r="R901" s="125">
        <f t="shared" si="40"/>
        <v>146.7</v>
      </c>
    </row>
    <row r="902" spans="8:18" ht="31.5">
      <c r="H902" s="2" t="s">
        <v>700</v>
      </c>
      <c r="I902" s="5">
        <v>674</v>
      </c>
      <c r="J902" s="14">
        <v>1</v>
      </c>
      <c r="K902" s="12">
        <v>13</v>
      </c>
      <c r="L902" s="46" t="s">
        <v>510</v>
      </c>
      <c r="M902" s="47" t="s">
        <v>222</v>
      </c>
      <c r="N902" s="47" t="s">
        <v>233</v>
      </c>
      <c r="O902" s="47" t="s">
        <v>240</v>
      </c>
      <c r="P902" s="3"/>
      <c r="Q902" s="125">
        <f t="shared" si="40"/>
        <v>146.70000000000002</v>
      </c>
      <c r="R902" s="125">
        <f t="shared" si="40"/>
        <v>146.7</v>
      </c>
    </row>
    <row r="903" spans="8:18" ht="18.75">
      <c r="H903" s="241" t="s">
        <v>456</v>
      </c>
      <c r="I903" s="3">
        <v>674</v>
      </c>
      <c r="J903" s="14">
        <v>1</v>
      </c>
      <c r="K903" s="12">
        <v>13</v>
      </c>
      <c r="L903" s="46" t="s">
        <v>510</v>
      </c>
      <c r="M903" s="47" t="s">
        <v>222</v>
      </c>
      <c r="N903" s="47" t="s">
        <v>233</v>
      </c>
      <c r="O903" s="47" t="s">
        <v>521</v>
      </c>
      <c r="P903" s="3"/>
      <c r="Q903" s="125">
        <f t="shared" si="40"/>
        <v>146.70000000000002</v>
      </c>
      <c r="R903" s="125">
        <f t="shared" si="40"/>
        <v>146.7</v>
      </c>
    </row>
    <row r="904" spans="8:18" ht="18.75">
      <c r="H904" s="2" t="s">
        <v>277</v>
      </c>
      <c r="I904" s="5">
        <v>674</v>
      </c>
      <c r="J904" s="14">
        <v>1</v>
      </c>
      <c r="K904" s="12">
        <v>13</v>
      </c>
      <c r="L904" s="46" t="s">
        <v>510</v>
      </c>
      <c r="M904" s="47" t="s">
        <v>222</v>
      </c>
      <c r="N904" s="47" t="s">
        <v>233</v>
      </c>
      <c r="O904" s="47" t="s">
        <v>521</v>
      </c>
      <c r="P904" s="3">
        <v>240</v>
      </c>
      <c r="Q904" s="125">
        <f>103+15.9+27.8</f>
        <v>146.70000000000002</v>
      </c>
      <c r="R904" s="125">
        <v>146.7</v>
      </c>
    </row>
    <row r="905" spans="8:18" ht="18.75">
      <c r="H905" s="259" t="s">
        <v>628</v>
      </c>
      <c r="I905" s="6">
        <v>674</v>
      </c>
      <c r="J905" s="272">
        <v>2</v>
      </c>
      <c r="K905" s="42"/>
      <c r="L905" s="46"/>
      <c r="M905" s="47"/>
      <c r="N905" s="47"/>
      <c r="O905" s="47"/>
      <c r="P905" s="3"/>
      <c r="Q905" s="125">
        <f aca="true" t="shared" si="41" ref="Q905:R909">Q906</f>
        <v>249.1</v>
      </c>
      <c r="R905" s="125">
        <f t="shared" si="41"/>
        <v>249.1</v>
      </c>
    </row>
    <row r="906" spans="8:18" ht="18.75">
      <c r="H906" s="88" t="s">
        <v>629</v>
      </c>
      <c r="I906" s="85">
        <v>674</v>
      </c>
      <c r="J906" s="87">
        <v>2</v>
      </c>
      <c r="K906" s="78">
        <v>3</v>
      </c>
      <c r="L906" s="46"/>
      <c r="M906" s="47"/>
      <c r="N906" s="47"/>
      <c r="O906" s="47"/>
      <c r="P906" s="3"/>
      <c r="Q906" s="125">
        <f t="shared" si="41"/>
        <v>249.1</v>
      </c>
      <c r="R906" s="125">
        <f t="shared" si="41"/>
        <v>249.1</v>
      </c>
    </row>
    <row r="907" spans="8:18" ht="31.5">
      <c r="H907" s="8" t="s">
        <v>509</v>
      </c>
      <c r="I907" s="3">
        <v>674</v>
      </c>
      <c r="J907" s="4">
        <v>2</v>
      </c>
      <c r="K907" s="12">
        <v>3</v>
      </c>
      <c r="L907" s="46" t="s">
        <v>510</v>
      </c>
      <c r="M907" s="47" t="s">
        <v>222</v>
      </c>
      <c r="N907" s="47" t="s">
        <v>233</v>
      </c>
      <c r="O907" s="47" t="s">
        <v>240</v>
      </c>
      <c r="P907" s="3"/>
      <c r="Q907" s="125">
        <f t="shared" si="41"/>
        <v>249.1</v>
      </c>
      <c r="R907" s="125">
        <f t="shared" si="41"/>
        <v>249.1</v>
      </c>
    </row>
    <row r="908" spans="8:18" ht="31.5">
      <c r="H908" s="8" t="s">
        <v>701</v>
      </c>
      <c r="I908" s="3">
        <v>674</v>
      </c>
      <c r="J908" s="4">
        <v>2</v>
      </c>
      <c r="K908" s="12">
        <v>3</v>
      </c>
      <c r="L908" s="46" t="s">
        <v>510</v>
      </c>
      <c r="M908" s="47" t="s">
        <v>222</v>
      </c>
      <c r="N908" s="47" t="s">
        <v>233</v>
      </c>
      <c r="O908" s="47" t="s">
        <v>632</v>
      </c>
      <c r="P908" s="3"/>
      <c r="Q908" s="125">
        <f t="shared" si="41"/>
        <v>249.1</v>
      </c>
      <c r="R908" s="125">
        <f t="shared" si="41"/>
        <v>249.1</v>
      </c>
    </row>
    <row r="909" spans="8:18" ht="31.5">
      <c r="H909" s="173" t="s">
        <v>631</v>
      </c>
      <c r="I909" s="3">
        <v>674</v>
      </c>
      <c r="J909" s="4">
        <v>2</v>
      </c>
      <c r="K909" s="12">
        <v>3</v>
      </c>
      <c r="L909" s="46" t="s">
        <v>510</v>
      </c>
      <c r="M909" s="47" t="s">
        <v>222</v>
      </c>
      <c r="N909" s="47" t="s">
        <v>233</v>
      </c>
      <c r="O909" s="47" t="s">
        <v>632</v>
      </c>
      <c r="P909" s="3"/>
      <c r="Q909" s="125">
        <f t="shared" si="41"/>
        <v>249.1</v>
      </c>
      <c r="R909" s="125">
        <f t="shared" si="41"/>
        <v>249.1</v>
      </c>
    </row>
    <row r="910" spans="8:18" ht="18.75">
      <c r="H910" s="8" t="s">
        <v>210</v>
      </c>
      <c r="I910" s="3">
        <v>674</v>
      </c>
      <c r="J910" s="4">
        <v>2</v>
      </c>
      <c r="K910" s="12">
        <v>3</v>
      </c>
      <c r="L910" s="46" t="s">
        <v>510</v>
      </c>
      <c r="M910" s="47" t="s">
        <v>222</v>
      </c>
      <c r="N910" s="47" t="s">
        <v>233</v>
      </c>
      <c r="O910" s="47" t="s">
        <v>632</v>
      </c>
      <c r="P910" s="3">
        <v>120</v>
      </c>
      <c r="Q910" s="125">
        <v>249.1</v>
      </c>
      <c r="R910" s="125">
        <v>249.1</v>
      </c>
    </row>
    <row r="911" spans="8:18" ht="18.75">
      <c r="H911" s="2" t="s">
        <v>523</v>
      </c>
      <c r="I911" s="6">
        <v>674</v>
      </c>
      <c r="J911" s="260">
        <v>3</v>
      </c>
      <c r="K911" s="42"/>
      <c r="L911" s="46"/>
      <c r="M911" s="47"/>
      <c r="N911" s="47"/>
      <c r="O911" s="47"/>
      <c r="P911" s="3"/>
      <c r="Q911" s="125">
        <f>Q917</f>
        <v>250</v>
      </c>
      <c r="R911" s="125">
        <f>R917</f>
        <v>250</v>
      </c>
    </row>
    <row r="912" spans="8:18" ht="31.5">
      <c r="H912" s="280" t="s">
        <v>633</v>
      </c>
      <c r="I912" s="85">
        <v>674</v>
      </c>
      <c r="J912" s="95">
        <v>3</v>
      </c>
      <c r="K912" s="78">
        <v>10</v>
      </c>
      <c r="L912" s="46"/>
      <c r="M912" s="47"/>
      <c r="N912" s="47"/>
      <c r="O912" s="47"/>
      <c r="P912" s="3"/>
      <c r="Q912" s="125">
        <f>Q917</f>
        <v>250</v>
      </c>
      <c r="R912" s="125">
        <f>R917</f>
        <v>250</v>
      </c>
    </row>
    <row r="913" spans="8:18" ht="31.5">
      <c r="H913" s="2" t="s">
        <v>518</v>
      </c>
      <c r="I913" s="3">
        <v>674</v>
      </c>
      <c r="J913" s="15">
        <v>3</v>
      </c>
      <c r="K913" s="12">
        <v>10</v>
      </c>
      <c r="L913" s="46" t="s">
        <v>519</v>
      </c>
      <c r="M913" s="47" t="s">
        <v>222</v>
      </c>
      <c r="N913" s="47" t="s">
        <v>231</v>
      </c>
      <c r="O913" s="47" t="s">
        <v>240</v>
      </c>
      <c r="P913" s="3"/>
      <c r="Q913" s="125">
        <f>Q914</f>
        <v>250</v>
      </c>
      <c r="R913" s="125">
        <f>R914</f>
        <v>250</v>
      </c>
    </row>
    <row r="914" spans="8:18" ht="31.5">
      <c r="H914" s="242" t="s">
        <v>525</v>
      </c>
      <c r="I914" s="3">
        <v>674</v>
      </c>
      <c r="J914" s="15">
        <v>3</v>
      </c>
      <c r="K914" s="12">
        <v>10</v>
      </c>
      <c r="L914" s="46" t="s">
        <v>634</v>
      </c>
      <c r="M914" s="47" t="s">
        <v>221</v>
      </c>
      <c r="N914" s="47" t="s">
        <v>231</v>
      </c>
      <c r="O914" s="47" t="s">
        <v>240</v>
      </c>
      <c r="P914" s="3"/>
      <c r="Q914" s="125">
        <f>Q917</f>
        <v>250</v>
      </c>
      <c r="R914" s="125">
        <f>R917</f>
        <v>250</v>
      </c>
    </row>
    <row r="915" spans="8:18" ht="31.5">
      <c r="H915" s="2" t="s">
        <v>635</v>
      </c>
      <c r="I915" s="3">
        <v>674</v>
      </c>
      <c r="J915" s="15">
        <v>3</v>
      </c>
      <c r="K915" s="12">
        <v>10</v>
      </c>
      <c r="L915" s="46" t="s">
        <v>519</v>
      </c>
      <c r="M915" s="47" t="s">
        <v>221</v>
      </c>
      <c r="N915" s="47" t="s">
        <v>234</v>
      </c>
      <c r="O915" s="47" t="s">
        <v>627</v>
      </c>
      <c r="P915" s="3"/>
      <c r="Q915" s="125">
        <f>Q917</f>
        <v>250</v>
      </c>
      <c r="R915" s="125">
        <f>R917</f>
        <v>250</v>
      </c>
    </row>
    <row r="916" spans="8:18" ht="18.75">
      <c r="H916" s="2" t="s">
        <v>636</v>
      </c>
      <c r="I916" s="5">
        <v>674</v>
      </c>
      <c r="J916" s="15">
        <v>3</v>
      </c>
      <c r="K916" s="12">
        <v>10</v>
      </c>
      <c r="L916" s="46" t="s">
        <v>519</v>
      </c>
      <c r="M916" s="47" t="s">
        <v>221</v>
      </c>
      <c r="N916" s="47" t="s">
        <v>234</v>
      </c>
      <c r="O916" s="47" t="s">
        <v>637</v>
      </c>
      <c r="P916" s="3"/>
      <c r="Q916" s="125">
        <f>Q917</f>
        <v>250</v>
      </c>
      <c r="R916" s="125">
        <f>R917</f>
        <v>250</v>
      </c>
    </row>
    <row r="917" spans="8:18" ht="18.75">
      <c r="H917" s="2" t="s">
        <v>277</v>
      </c>
      <c r="I917" s="5">
        <v>674</v>
      </c>
      <c r="J917" s="15">
        <v>3</v>
      </c>
      <c r="K917" s="12">
        <v>10</v>
      </c>
      <c r="L917" s="46" t="s">
        <v>519</v>
      </c>
      <c r="M917" s="47" t="s">
        <v>221</v>
      </c>
      <c r="N917" s="47" t="s">
        <v>234</v>
      </c>
      <c r="O917" s="47" t="s">
        <v>637</v>
      </c>
      <c r="P917" s="3">
        <v>240</v>
      </c>
      <c r="Q917" s="125">
        <f>100+150</f>
        <v>250</v>
      </c>
      <c r="R917" s="125">
        <v>250</v>
      </c>
    </row>
    <row r="918" spans="8:18" ht="19.5">
      <c r="H918" s="231" t="s">
        <v>535</v>
      </c>
      <c r="I918" s="91">
        <v>674</v>
      </c>
      <c r="J918" s="95">
        <v>4</v>
      </c>
      <c r="K918" s="78"/>
      <c r="L918" s="79"/>
      <c r="M918" s="80"/>
      <c r="N918" s="80"/>
      <c r="O918" s="80"/>
      <c r="P918" s="85"/>
      <c r="Q918" s="126">
        <f aca="true" t="shared" si="42" ref="Q918:R922">Q919</f>
        <v>1676.1</v>
      </c>
      <c r="R918" s="126">
        <f t="shared" si="42"/>
        <v>1675.8</v>
      </c>
    </row>
    <row r="919" spans="8:18" ht="19.5">
      <c r="H919" s="231" t="s">
        <v>62</v>
      </c>
      <c r="I919" s="91">
        <v>674</v>
      </c>
      <c r="J919" s="95">
        <v>4</v>
      </c>
      <c r="K919" s="78">
        <v>9</v>
      </c>
      <c r="L919" s="79"/>
      <c r="M919" s="80"/>
      <c r="N919" s="80"/>
      <c r="O919" s="80"/>
      <c r="P919" s="85"/>
      <c r="Q919" s="126">
        <f t="shared" si="42"/>
        <v>1676.1</v>
      </c>
      <c r="R919" s="126">
        <f t="shared" si="42"/>
        <v>1675.8</v>
      </c>
    </row>
    <row r="920" spans="8:18" ht="31.5">
      <c r="H920" s="117" t="s">
        <v>538</v>
      </c>
      <c r="I920" s="3">
        <v>674</v>
      </c>
      <c r="J920" s="14">
        <v>4</v>
      </c>
      <c r="K920" s="12">
        <v>9</v>
      </c>
      <c r="L920" s="46" t="s">
        <v>539</v>
      </c>
      <c r="M920" s="47" t="s">
        <v>222</v>
      </c>
      <c r="N920" s="47" t="s">
        <v>231</v>
      </c>
      <c r="O920" s="47" t="s">
        <v>240</v>
      </c>
      <c r="P920" s="3"/>
      <c r="Q920" s="125">
        <f t="shared" si="42"/>
        <v>1676.1</v>
      </c>
      <c r="R920" s="125">
        <f t="shared" si="42"/>
        <v>1675.8</v>
      </c>
    </row>
    <row r="921" spans="8:18" ht="18.75">
      <c r="H921" s="117" t="s">
        <v>314</v>
      </c>
      <c r="I921" s="3">
        <v>674</v>
      </c>
      <c r="J921" s="14">
        <v>4</v>
      </c>
      <c r="K921" s="12">
        <v>9</v>
      </c>
      <c r="L921" s="46" t="s">
        <v>539</v>
      </c>
      <c r="M921" s="47" t="s">
        <v>222</v>
      </c>
      <c r="N921" s="47" t="s">
        <v>235</v>
      </c>
      <c r="O921" s="47" t="s">
        <v>240</v>
      </c>
      <c r="P921" s="3"/>
      <c r="Q921" s="125">
        <f t="shared" si="42"/>
        <v>1676.1</v>
      </c>
      <c r="R921" s="125">
        <f t="shared" si="42"/>
        <v>1675.8</v>
      </c>
    </row>
    <row r="922" spans="8:18" ht="18.75">
      <c r="H922" s="8" t="s">
        <v>299</v>
      </c>
      <c r="I922" s="3">
        <v>674</v>
      </c>
      <c r="J922" s="14">
        <v>4</v>
      </c>
      <c r="K922" s="12">
        <v>9</v>
      </c>
      <c r="L922" s="46" t="s">
        <v>539</v>
      </c>
      <c r="M922" s="47" t="s">
        <v>222</v>
      </c>
      <c r="N922" s="47" t="s">
        <v>235</v>
      </c>
      <c r="O922" s="47" t="s">
        <v>298</v>
      </c>
      <c r="P922" s="3"/>
      <c r="Q922" s="125">
        <f t="shared" si="42"/>
        <v>1676.1</v>
      </c>
      <c r="R922" s="125">
        <f t="shared" si="42"/>
        <v>1675.8</v>
      </c>
    </row>
    <row r="923" spans="8:18" ht="18.75">
      <c r="H923" s="2" t="s">
        <v>277</v>
      </c>
      <c r="I923" s="5">
        <v>674</v>
      </c>
      <c r="J923" s="14">
        <v>4</v>
      </c>
      <c r="K923" s="12">
        <v>9</v>
      </c>
      <c r="L923" s="46" t="s">
        <v>539</v>
      </c>
      <c r="M923" s="47" t="s">
        <v>222</v>
      </c>
      <c r="N923" s="47" t="s">
        <v>235</v>
      </c>
      <c r="O923" s="47" t="s">
        <v>298</v>
      </c>
      <c r="P923" s="3">
        <v>240</v>
      </c>
      <c r="Q923" s="125">
        <f>1393+200+83.1</f>
        <v>1676.1</v>
      </c>
      <c r="R923" s="125">
        <v>1675.8</v>
      </c>
    </row>
    <row r="924" spans="8:18" ht="19.5">
      <c r="H924" s="231" t="s">
        <v>547</v>
      </c>
      <c r="I924" s="91">
        <v>674</v>
      </c>
      <c r="J924" s="86">
        <v>5</v>
      </c>
      <c r="K924" s="78"/>
      <c r="L924" s="79"/>
      <c r="M924" s="80"/>
      <c r="N924" s="80"/>
      <c r="O924" s="80"/>
      <c r="P924" s="85"/>
      <c r="Q924" s="126">
        <f>Q932+Q947+Q925</f>
        <v>14094.699999999999</v>
      </c>
      <c r="R924" s="126">
        <f>R932+R947+R925</f>
        <v>13435.499999999998</v>
      </c>
    </row>
    <row r="925" spans="8:18" ht="18.75">
      <c r="H925" s="245" t="s">
        <v>290</v>
      </c>
      <c r="I925" s="77">
        <v>674</v>
      </c>
      <c r="J925" s="78">
        <v>5</v>
      </c>
      <c r="K925" s="78">
        <v>2</v>
      </c>
      <c r="L925" s="79"/>
      <c r="M925" s="80"/>
      <c r="N925" s="80"/>
      <c r="O925" s="80"/>
      <c r="P925" s="77"/>
      <c r="Q925" s="124">
        <f>Q926</f>
        <v>150</v>
      </c>
      <c r="R925" s="124">
        <f>R926</f>
        <v>149.3</v>
      </c>
    </row>
    <row r="926" spans="8:18" ht="31.5">
      <c r="H926" s="8" t="s">
        <v>509</v>
      </c>
      <c r="I926" s="7">
        <v>674</v>
      </c>
      <c r="J926" s="12">
        <v>5</v>
      </c>
      <c r="K926" s="12">
        <v>2</v>
      </c>
      <c r="L926" s="46" t="s">
        <v>510</v>
      </c>
      <c r="M926" s="47" t="s">
        <v>222</v>
      </c>
      <c r="N926" s="47" t="s">
        <v>231</v>
      </c>
      <c r="O926" s="47" t="s">
        <v>240</v>
      </c>
      <c r="P926" s="7"/>
      <c r="Q926" s="124">
        <f>Q927</f>
        <v>150</v>
      </c>
      <c r="R926" s="124">
        <f>R927</f>
        <v>149.3</v>
      </c>
    </row>
    <row r="927" spans="8:18" ht="31.5">
      <c r="H927" s="2" t="s">
        <v>700</v>
      </c>
      <c r="I927" s="7">
        <v>674</v>
      </c>
      <c r="J927" s="12">
        <v>5</v>
      </c>
      <c r="K927" s="12">
        <v>2</v>
      </c>
      <c r="L927" s="46" t="s">
        <v>510</v>
      </c>
      <c r="M927" s="47" t="s">
        <v>222</v>
      </c>
      <c r="N927" s="47" t="s">
        <v>233</v>
      </c>
      <c r="O927" s="47" t="s">
        <v>240</v>
      </c>
      <c r="P927" s="7"/>
      <c r="Q927" s="124">
        <f>Q930+Q928</f>
        <v>150</v>
      </c>
      <c r="R927" s="124">
        <f>R930+R928</f>
        <v>149.3</v>
      </c>
    </row>
    <row r="928" spans="8:18" ht="18.75" hidden="1">
      <c r="H928" s="2" t="s">
        <v>64</v>
      </c>
      <c r="I928" s="7">
        <v>674</v>
      </c>
      <c r="J928" s="12">
        <v>5</v>
      </c>
      <c r="K928" s="12">
        <v>2</v>
      </c>
      <c r="L928" s="46" t="s">
        <v>510</v>
      </c>
      <c r="M928" s="47" t="s">
        <v>222</v>
      </c>
      <c r="N928" s="47" t="s">
        <v>233</v>
      </c>
      <c r="O928" s="47" t="s">
        <v>243</v>
      </c>
      <c r="P928" s="7"/>
      <c r="Q928" s="345">
        <f>Q929</f>
        <v>0</v>
      </c>
      <c r="R928" s="124">
        <f>R929</f>
        <v>0</v>
      </c>
    </row>
    <row r="929" spans="8:18" ht="18.75" hidden="1">
      <c r="H929" s="2" t="s">
        <v>277</v>
      </c>
      <c r="I929" s="7">
        <v>674</v>
      </c>
      <c r="J929" s="12">
        <v>5</v>
      </c>
      <c r="K929" s="12">
        <v>2</v>
      </c>
      <c r="L929" s="46" t="s">
        <v>510</v>
      </c>
      <c r="M929" s="47" t="s">
        <v>222</v>
      </c>
      <c r="N929" s="47" t="s">
        <v>233</v>
      </c>
      <c r="O929" s="47" t="s">
        <v>243</v>
      </c>
      <c r="P929" s="7">
        <v>240</v>
      </c>
      <c r="Q929" s="345">
        <v>0</v>
      </c>
      <c r="R929" s="124"/>
    </row>
    <row r="930" spans="8:18" ht="18.75">
      <c r="H930" s="16" t="s">
        <v>456</v>
      </c>
      <c r="I930" s="7">
        <v>674</v>
      </c>
      <c r="J930" s="12">
        <v>5</v>
      </c>
      <c r="K930" s="12">
        <v>2</v>
      </c>
      <c r="L930" s="46" t="s">
        <v>510</v>
      </c>
      <c r="M930" s="47" t="s">
        <v>222</v>
      </c>
      <c r="N930" s="47" t="s">
        <v>233</v>
      </c>
      <c r="O930" s="47" t="s">
        <v>294</v>
      </c>
      <c r="P930" s="7"/>
      <c r="Q930" s="124">
        <f>Q931</f>
        <v>150</v>
      </c>
      <c r="R930" s="124">
        <f>R931</f>
        <v>149.3</v>
      </c>
    </row>
    <row r="931" spans="8:18" ht="18.75">
      <c r="H931" s="8" t="s">
        <v>277</v>
      </c>
      <c r="I931" s="7">
        <v>674</v>
      </c>
      <c r="J931" s="12">
        <v>5</v>
      </c>
      <c r="K931" s="12">
        <v>2</v>
      </c>
      <c r="L931" s="46" t="s">
        <v>510</v>
      </c>
      <c r="M931" s="47" t="s">
        <v>222</v>
      </c>
      <c r="N931" s="47" t="s">
        <v>233</v>
      </c>
      <c r="O931" s="47" t="s">
        <v>294</v>
      </c>
      <c r="P931" s="7">
        <v>240</v>
      </c>
      <c r="Q931" s="124">
        <f>1901.1+105-1856.1</f>
        <v>150</v>
      </c>
      <c r="R931" s="124">
        <v>149.3</v>
      </c>
    </row>
    <row r="932" spans="8:18" ht="19.5">
      <c r="H932" s="243" t="s">
        <v>22</v>
      </c>
      <c r="I932" s="91">
        <v>674</v>
      </c>
      <c r="J932" s="86">
        <v>5</v>
      </c>
      <c r="K932" s="78">
        <v>3</v>
      </c>
      <c r="L932" s="79"/>
      <c r="M932" s="80"/>
      <c r="N932" s="80"/>
      <c r="O932" s="80"/>
      <c r="P932" s="85"/>
      <c r="Q932" s="126">
        <f>Q937+Q933</f>
        <v>11735.8</v>
      </c>
      <c r="R932" s="126">
        <f>R937+R933</f>
        <v>11204.599999999999</v>
      </c>
    </row>
    <row r="933" spans="8:18" ht="31.5">
      <c r="H933" s="8" t="s">
        <v>509</v>
      </c>
      <c r="I933" s="7">
        <v>674</v>
      </c>
      <c r="J933" s="12">
        <v>5</v>
      </c>
      <c r="K933" s="12">
        <v>3</v>
      </c>
      <c r="L933" s="46" t="s">
        <v>510</v>
      </c>
      <c r="M933" s="47" t="s">
        <v>222</v>
      </c>
      <c r="N933" s="47" t="s">
        <v>231</v>
      </c>
      <c r="O933" s="47" t="s">
        <v>240</v>
      </c>
      <c r="P933" s="85"/>
      <c r="Q933" s="125">
        <f aca="true" t="shared" si="43" ref="Q933:R935">Q934</f>
        <v>6979.4</v>
      </c>
      <c r="R933" s="125">
        <f t="shared" si="43"/>
        <v>6474.9</v>
      </c>
    </row>
    <row r="934" spans="8:18" ht="31.5">
      <c r="H934" s="2" t="s">
        <v>700</v>
      </c>
      <c r="I934" s="7">
        <v>674</v>
      </c>
      <c r="J934" s="12">
        <v>5</v>
      </c>
      <c r="K934" s="12">
        <v>3</v>
      </c>
      <c r="L934" s="46" t="s">
        <v>510</v>
      </c>
      <c r="M934" s="47" t="s">
        <v>222</v>
      </c>
      <c r="N934" s="47" t="s">
        <v>233</v>
      </c>
      <c r="O934" s="47" t="s">
        <v>240</v>
      </c>
      <c r="P934" s="85"/>
      <c r="Q934" s="125">
        <f t="shared" si="43"/>
        <v>6979.4</v>
      </c>
      <c r="R934" s="125">
        <f t="shared" si="43"/>
        <v>6474.9</v>
      </c>
    </row>
    <row r="935" spans="8:18" ht="18.75">
      <c r="H935" s="16" t="s">
        <v>456</v>
      </c>
      <c r="I935" s="7">
        <v>674</v>
      </c>
      <c r="J935" s="12">
        <v>5</v>
      </c>
      <c r="K935" s="12">
        <v>3</v>
      </c>
      <c r="L935" s="46" t="s">
        <v>510</v>
      </c>
      <c r="M935" s="47" t="s">
        <v>222</v>
      </c>
      <c r="N935" s="47" t="s">
        <v>233</v>
      </c>
      <c r="O935" s="47" t="s">
        <v>294</v>
      </c>
      <c r="P935" s="7"/>
      <c r="Q935" s="124">
        <f t="shared" si="43"/>
        <v>6979.4</v>
      </c>
      <c r="R935" s="124">
        <f t="shared" si="43"/>
        <v>6474.9</v>
      </c>
    </row>
    <row r="936" spans="8:18" ht="18.75">
      <c r="H936" s="8" t="s">
        <v>277</v>
      </c>
      <c r="I936" s="7">
        <v>674</v>
      </c>
      <c r="J936" s="12">
        <v>5</v>
      </c>
      <c r="K936" s="12">
        <v>3</v>
      </c>
      <c r="L936" s="46" t="s">
        <v>510</v>
      </c>
      <c r="M936" s="47" t="s">
        <v>222</v>
      </c>
      <c r="N936" s="47" t="s">
        <v>233</v>
      </c>
      <c r="O936" s="47" t="s">
        <v>294</v>
      </c>
      <c r="P936" s="7">
        <v>240</v>
      </c>
      <c r="Q936" s="124">
        <f>4330.9+1856.1+792.4</f>
        <v>6979.4</v>
      </c>
      <c r="R936" s="124">
        <v>6474.9</v>
      </c>
    </row>
    <row r="937" spans="8:18" ht="31.5">
      <c r="H937" s="117" t="s">
        <v>575</v>
      </c>
      <c r="I937" s="3">
        <v>674</v>
      </c>
      <c r="J937" s="14">
        <v>5</v>
      </c>
      <c r="K937" s="12">
        <v>3</v>
      </c>
      <c r="L937" s="46" t="s">
        <v>576</v>
      </c>
      <c r="M937" s="47" t="s">
        <v>222</v>
      </c>
      <c r="N937" s="47" t="s">
        <v>231</v>
      </c>
      <c r="O937" s="47" t="s">
        <v>240</v>
      </c>
      <c r="P937" s="3"/>
      <c r="Q937" s="125">
        <f>Q941+Q944+Q940</f>
        <v>4756.4</v>
      </c>
      <c r="R937" s="125">
        <f>R941+R944+R940</f>
        <v>4729.7</v>
      </c>
    </row>
    <row r="938" spans="8:18" ht="31.5">
      <c r="H938" s="8" t="s">
        <v>577</v>
      </c>
      <c r="I938" s="3">
        <v>674</v>
      </c>
      <c r="J938" s="4">
        <v>5</v>
      </c>
      <c r="K938" s="12">
        <v>3</v>
      </c>
      <c r="L938" s="46" t="s">
        <v>576</v>
      </c>
      <c r="M938" s="47" t="s">
        <v>222</v>
      </c>
      <c r="N938" s="47" t="s">
        <v>223</v>
      </c>
      <c r="O938" s="47" t="s">
        <v>240</v>
      </c>
      <c r="P938" s="3"/>
      <c r="Q938" s="125">
        <v>250</v>
      </c>
      <c r="R938" s="125">
        <v>250</v>
      </c>
    </row>
    <row r="939" spans="8:18" ht="18.75">
      <c r="H939" s="8" t="s">
        <v>694</v>
      </c>
      <c r="I939" s="3">
        <v>674</v>
      </c>
      <c r="J939" s="4">
        <v>5</v>
      </c>
      <c r="K939" s="12">
        <v>3</v>
      </c>
      <c r="L939" s="46" t="s">
        <v>576</v>
      </c>
      <c r="M939" s="47" t="s">
        <v>222</v>
      </c>
      <c r="N939" s="47" t="s">
        <v>223</v>
      </c>
      <c r="O939" s="47" t="s">
        <v>567</v>
      </c>
      <c r="P939" s="3"/>
      <c r="Q939" s="125">
        <v>250</v>
      </c>
      <c r="R939" s="125">
        <v>250</v>
      </c>
    </row>
    <row r="940" spans="8:18" ht="18.75">
      <c r="H940" s="2" t="s">
        <v>277</v>
      </c>
      <c r="I940" s="3">
        <v>674</v>
      </c>
      <c r="J940" s="4">
        <v>5</v>
      </c>
      <c r="K940" s="12">
        <v>3</v>
      </c>
      <c r="L940" s="46" t="s">
        <v>576</v>
      </c>
      <c r="M940" s="47" t="s">
        <v>222</v>
      </c>
      <c r="N940" s="47" t="s">
        <v>223</v>
      </c>
      <c r="O940" s="47" t="s">
        <v>567</v>
      </c>
      <c r="P940" s="3">
        <v>240</v>
      </c>
      <c r="Q940" s="125">
        <f>250+180+151.8</f>
        <v>581.8</v>
      </c>
      <c r="R940" s="125">
        <v>555.1</v>
      </c>
    </row>
    <row r="941" spans="8:18" ht="18.75">
      <c r="H941" s="117" t="s">
        <v>579</v>
      </c>
      <c r="I941" s="3">
        <v>674</v>
      </c>
      <c r="J941" s="14">
        <v>5</v>
      </c>
      <c r="K941" s="12">
        <v>3</v>
      </c>
      <c r="L941" s="46" t="s">
        <v>576</v>
      </c>
      <c r="M941" s="47" t="s">
        <v>222</v>
      </c>
      <c r="N941" s="47" t="s">
        <v>235</v>
      </c>
      <c r="O941" s="47" t="s">
        <v>240</v>
      </c>
      <c r="P941" s="3"/>
      <c r="Q941" s="125">
        <f>Q942</f>
        <v>4056.7</v>
      </c>
      <c r="R941" s="125">
        <f>R942</f>
        <v>4056.7</v>
      </c>
    </row>
    <row r="942" spans="8:18" ht="18.75">
      <c r="H942" s="117" t="s">
        <v>580</v>
      </c>
      <c r="I942" s="3">
        <v>674</v>
      </c>
      <c r="J942" s="14">
        <v>5</v>
      </c>
      <c r="K942" s="12">
        <v>3</v>
      </c>
      <c r="L942" s="46" t="s">
        <v>576</v>
      </c>
      <c r="M942" s="47" t="s">
        <v>222</v>
      </c>
      <c r="N942" s="47" t="s">
        <v>235</v>
      </c>
      <c r="O942" s="47" t="s">
        <v>581</v>
      </c>
      <c r="P942" s="3"/>
      <c r="Q942" s="125">
        <f>Q943</f>
        <v>4056.7</v>
      </c>
      <c r="R942" s="125">
        <f>R943</f>
        <v>4056.7</v>
      </c>
    </row>
    <row r="943" spans="8:18" ht="18.75">
      <c r="H943" s="8" t="s">
        <v>277</v>
      </c>
      <c r="I943" s="3">
        <v>674</v>
      </c>
      <c r="J943" s="14">
        <v>5</v>
      </c>
      <c r="K943" s="12">
        <v>3</v>
      </c>
      <c r="L943" s="46" t="s">
        <v>576</v>
      </c>
      <c r="M943" s="47" t="s">
        <v>222</v>
      </c>
      <c r="N943" s="47" t="s">
        <v>235</v>
      </c>
      <c r="O943" s="47" t="s">
        <v>581</v>
      </c>
      <c r="P943" s="3">
        <v>240</v>
      </c>
      <c r="Q943" s="125">
        <v>4056.7</v>
      </c>
      <c r="R943" s="125">
        <v>4056.7</v>
      </c>
    </row>
    <row r="944" spans="8:18" ht="31.5">
      <c r="H944" s="117" t="s">
        <v>695</v>
      </c>
      <c r="I944" s="3">
        <v>674</v>
      </c>
      <c r="J944" s="14">
        <v>5</v>
      </c>
      <c r="K944" s="12">
        <v>3</v>
      </c>
      <c r="L944" s="46" t="s">
        <v>576</v>
      </c>
      <c r="M944" s="47" t="s">
        <v>222</v>
      </c>
      <c r="N944" s="47" t="s">
        <v>233</v>
      </c>
      <c r="O944" s="47" t="s">
        <v>240</v>
      </c>
      <c r="P944" s="3"/>
      <c r="Q944" s="125">
        <f>Q945</f>
        <v>117.9</v>
      </c>
      <c r="R944" s="125">
        <f>R945</f>
        <v>117.9</v>
      </c>
    </row>
    <row r="945" spans="8:18" ht="31.5">
      <c r="H945" s="117" t="s">
        <v>696</v>
      </c>
      <c r="I945" s="3">
        <v>674</v>
      </c>
      <c r="J945" s="14">
        <v>5</v>
      </c>
      <c r="K945" s="12">
        <v>3</v>
      </c>
      <c r="L945" s="46" t="s">
        <v>576</v>
      </c>
      <c r="M945" s="47" t="s">
        <v>222</v>
      </c>
      <c r="N945" s="47" t="s">
        <v>233</v>
      </c>
      <c r="O945" s="47" t="s">
        <v>697</v>
      </c>
      <c r="P945" s="3"/>
      <c r="Q945" s="125">
        <f>Q946</f>
        <v>117.9</v>
      </c>
      <c r="R945" s="125">
        <f>R946</f>
        <v>117.9</v>
      </c>
    </row>
    <row r="946" spans="8:18" ht="18.75">
      <c r="H946" s="2" t="s">
        <v>277</v>
      </c>
      <c r="I946" s="5">
        <v>674</v>
      </c>
      <c r="J946" s="14">
        <v>5</v>
      </c>
      <c r="K946" s="12">
        <v>3</v>
      </c>
      <c r="L946" s="46" t="s">
        <v>576</v>
      </c>
      <c r="M946" s="47" t="s">
        <v>222</v>
      </c>
      <c r="N946" s="47" t="s">
        <v>233</v>
      </c>
      <c r="O946" s="47" t="s">
        <v>697</v>
      </c>
      <c r="P946" s="3">
        <v>240</v>
      </c>
      <c r="Q946" s="125">
        <f>368.5-2.5-248.1</f>
        <v>117.9</v>
      </c>
      <c r="R946" s="125">
        <v>117.9</v>
      </c>
    </row>
    <row r="947" spans="8:18" ht="19.5">
      <c r="H947" s="264" t="s">
        <v>242</v>
      </c>
      <c r="I947" s="91">
        <v>674</v>
      </c>
      <c r="J947" s="86">
        <v>5</v>
      </c>
      <c r="K947" s="78">
        <v>5</v>
      </c>
      <c r="L947" s="79"/>
      <c r="M947" s="80"/>
      <c r="N947" s="80"/>
      <c r="O947" s="80"/>
      <c r="P947" s="85"/>
      <c r="Q947" s="126">
        <f>Q948+Q952</f>
        <v>2208.9</v>
      </c>
      <c r="R947" s="126">
        <f>R948+R952</f>
        <v>2081.6</v>
      </c>
    </row>
    <row r="948" spans="8:18" ht="31.5">
      <c r="H948" s="2" t="s">
        <v>509</v>
      </c>
      <c r="I948" s="3">
        <v>674</v>
      </c>
      <c r="J948" s="14">
        <v>5</v>
      </c>
      <c r="K948" s="12">
        <v>5</v>
      </c>
      <c r="L948" s="46" t="s">
        <v>510</v>
      </c>
      <c r="M948" s="47" t="s">
        <v>222</v>
      </c>
      <c r="N948" s="47" t="s">
        <v>231</v>
      </c>
      <c r="O948" s="47" t="s">
        <v>240</v>
      </c>
      <c r="P948" s="3"/>
      <c r="Q948" s="125">
        <f aca="true" t="shared" si="44" ref="Q948:R950">Q949</f>
        <v>925.9000000000001</v>
      </c>
      <c r="R948" s="125">
        <f t="shared" si="44"/>
        <v>802.1</v>
      </c>
    </row>
    <row r="949" spans="8:18" ht="31.5">
      <c r="H949" s="2" t="s">
        <v>700</v>
      </c>
      <c r="I949" s="7">
        <v>674</v>
      </c>
      <c r="J949" s="12">
        <v>5</v>
      </c>
      <c r="K949" s="12">
        <v>5</v>
      </c>
      <c r="L949" s="46" t="s">
        <v>510</v>
      </c>
      <c r="M949" s="47" t="s">
        <v>222</v>
      </c>
      <c r="N949" s="47" t="s">
        <v>233</v>
      </c>
      <c r="O949" s="47" t="s">
        <v>240</v>
      </c>
      <c r="P949" s="7"/>
      <c r="Q949" s="124">
        <f t="shared" si="44"/>
        <v>925.9000000000001</v>
      </c>
      <c r="R949" s="124">
        <f t="shared" si="44"/>
        <v>802.1</v>
      </c>
    </row>
    <row r="950" spans="8:18" ht="47.25">
      <c r="H950" s="2" t="s">
        <v>658</v>
      </c>
      <c r="I950" s="7">
        <v>674</v>
      </c>
      <c r="J950" s="12">
        <v>5</v>
      </c>
      <c r="K950" s="12">
        <v>5</v>
      </c>
      <c r="L950" s="46" t="s">
        <v>510</v>
      </c>
      <c r="M950" s="47" t="s">
        <v>222</v>
      </c>
      <c r="N950" s="47" t="s">
        <v>233</v>
      </c>
      <c r="O950" s="47" t="s">
        <v>246</v>
      </c>
      <c r="P950" s="7"/>
      <c r="Q950" s="124">
        <f t="shared" si="44"/>
        <v>925.9000000000001</v>
      </c>
      <c r="R950" s="124">
        <f t="shared" si="44"/>
        <v>802.1</v>
      </c>
    </row>
    <row r="951" spans="8:18" ht="18.75">
      <c r="H951" s="2" t="s">
        <v>277</v>
      </c>
      <c r="I951" s="7">
        <v>674</v>
      </c>
      <c r="J951" s="12">
        <v>5</v>
      </c>
      <c r="K951" s="12">
        <v>5</v>
      </c>
      <c r="L951" s="46" t="s">
        <v>510</v>
      </c>
      <c r="M951" s="47" t="s">
        <v>222</v>
      </c>
      <c r="N951" s="47" t="s">
        <v>233</v>
      </c>
      <c r="O951" s="47" t="s">
        <v>246</v>
      </c>
      <c r="P951" s="7">
        <v>240</v>
      </c>
      <c r="Q951" s="124">
        <f>1100-120.8-17.4-10.6-25.3</f>
        <v>925.9000000000001</v>
      </c>
      <c r="R951" s="124">
        <v>802.1</v>
      </c>
    </row>
    <row r="952" spans="8:18" ht="31.5">
      <c r="H952" s="2" t="s">
        <v>550</v>
      </c>
      <c r="I952" s="9">
        <v>674</v>
      </c>
      <c r="J952" s="4">
        <v>5</v>
      </c>
      <c r="K952" s="12">
        <v>5</v>
      </c>
      <c r="L952" s="46" t="s">
        <v>551</v>
      </c>
      <c r="M952" s="47" t="s">
        <v>222</v>
      </c>
      <c r="N952" s="47" t="s">
        <v>231</v>
      </c>
      <c r="O952" s="47" t="s">
        <v>240</v>
      </c>
      <c r="P952" s="3"/>
      <c r="Q952" s="125">
        <f>Q953</f>
        <v>1283</v>
      </c>
      <c r="R952" s="125">
        <f>R953</f>
        <v>1279.5</v>
      </c>
    </row>
    <row r="953" spans="8:18" ht="31.5">
      <c r="H953" s="2" t="s">
        <v>702</v>
      </c>
      <c r="I953" s="9">
        <v>674</v>
      </c>
      <c r="J953" s="4">
        <v>5</v>
      </c>
      <c r="K953" s="12">
        <v>5</v>
      </c>
      <c r="L953" s="46" t="s">
        <v>551</v>
      </c>
      <c r="M953" s="47" t="s">
        <v>222</v>
      </c>
      <c r="N953" s="47" t="s">
        <v>223</v>
      </c>
      <c r="O953" s="47" t="s">
        <v>240</v>
      </c>
      <c r="P953" s="3"/>
      <c r="Q953" s="125">
        <f>Q954</f>
        <v>1283</v>
      </c>
      <c r="R953" s="125">
        <f>R954</f>
        <v>1279.5</v>
      </c>
    </row>
    <row r="954" spans="8:18" ht="47.25">
      <c r="H954" s="2" t="s">
        <v>660</v>
      </c>
      <c r="I954" s="9">
        <v>674</v>
      </c>
      <c r="J954" s="4">
        <v>5</v>
      </c>
      <c r="K954" s="12">
        <v>5</v>
      </c>
      <c r="L954" s="46" t="s">
        <v>551</v>
      </c>
      <c r="M954" s="47" t="s">
        <v>222</v>
      </c>
      <c r="N954" s="47" t="s">
        <v>223</v>
      </c>
      <c r="O954" s="47" t="s">
        <v>10</v>
      </c>
      <c r="P954" s="3"/>
      <c r="Q954" s="125">
        <f>Q955+Q956</f>
        <v>1283</v>
      </c>
      <c r="R954" s="125">
        <f>R955+R956</f>
        <v>1279.5</v>
      </c>
    </row>
    <row r="955" spans="8:18" ht="18.75">
      <c r="H955" s="2" t="s">
        <v>277</v>
      </c>
      <c r="I955" s="5">
        <v>674</v>
      </c>
      <c r="J955" s="14">
        <v>5</v>
      </c>
      <c r="K955" s="12">
        <v>5</v>
      </c>
      <c r="L955" s="46" t="s">
        <v>551</v>
      </c>
      <c r="M955" s="47" t="s">
        <v>222</v>
      </c>
      <c r="N955" s="47" t="s">
        <v>223</v>
      </c>
      <c r="O955" s="47" t="s">
        <v>10</v>
      </c>
      <c r="P955" s="3">
        <v>240</v>
      </c>
      <c r="Q955" s="125">
        <f>700-117.7+116.6+108+234+120.2+120.8</f>
        <v>1281.9</v>
      </c>
      <c r="R955" s="125">
        <v>1278.7</v>
      </c>
    </row>
    <row r="956" spans="8:18" ht="18.75">
      <c r="H956" s="2" t="s">
        <v>278</v>
      </c>
      <c r="I956" s="5">
        <v>674</v>
      </c>
      <c r="J956" s="14">
        <v>5</v>
      </c>
      <c r="K956" s="12">
        <v>5</v>
      </c>
      <c r="L956" s="46" t="s">
        <v>551</v>
      </c>
      <c r="M956" s="47" t="s">
        <v>222</v>
      </c>
      <c r="N956" s="47" t="s">
        <v>223</v>
      </c>
      <c r="O956" s="47" t="s">
        <v>10</v>
      </c>
      <c r="P956" s="3">
        <v>850</v>
      </c>
      <c r="Q956" s="125">
        <v>1.1</v>
      </c>
      <c r="R956" s="125">
        <v>0.8</v>
      </c>
    </row>
    <row r="957" spans="8:18" ht="19.5" hidden="1">
      <c r="H957" s="231" t="s">
        <v>504</v>
      </c>
      <c r="I957" s="85">
        <v>674</v>
      </c>
      <c r="J957" s="86">
        <v>10</v>
      </c>
      <c r="K957" s="78"/>
      <c r="L957" s="79"/>
      <c r="M957" s="80"/>
      <c r="N957" s="80"/>
      <c r="O957" s="80"/>
      <c r="P957" s="85"/>
      <c r="Q957" s="348">
        <v>0</v>
      </c>
      <c r="R957" s="126">
        <v>0</v>
      </c>
    </row>
    <row r="958" spans="8:18" ht="19.5" hidden="1">
      <c r="H958" s="253" t="s">
        <v>82</v>
      </c>
      <c r="I958" s="85">
        <v>674</v>
      </c>
      <c r="J958" s="86">
        <v>10</v>
      </c>
      <c r="K958" s="78">
        <v>1</v>
      </c>
      <c r="L958" s="79"/>
      <c r="M958" s="80"/>
      <c r="N958" s="80"/>
      <c r="O958" s="80"/>
      <c r="P958" s="85"/>
      <c r="Q958" s="348">
        <v>0</v>
      </c>
      <c r="R958" s="126">
        <v>0</v>
      </c>
    </row>
    <row r="959" spans="8:18" ht="31.5" hidden="1">
      <c r="H959" s="8" t="s">
        <v>509</v>
      </c>
      <c r="I959" s="3">
        <v>674</v>
      </c>
      <c r="J959" s="14">
        <v>10</v>
      </c>
      <c r="K959" s="12">
        <v>1</v>
      </c>
      <c r="L959" s="46" t="s">
        <v>510</v>
      </c>
      <c r="M959" s="47" t="s">
        <v>222</v>
      </c>
      <c r="N959" s="47" t="s">
        <v>231</v>
      </c>
      <c r="O959" s="47" t="s">
        <v>240</v>
      </c>
      <c r="P959" s="3"/>
      <c r="Q959" s="346">
        <v>0</v>
      </c>
      <c r="R959" s="125">
        <v>0</v>
      </c>
    </row>
    <row r="960" spans="8:18" ht="31.5" hidden="1">
      <c r="H960" s="2" t="s">
        <v>701</v>
      </c>
      <c r="I960" s="3">
        <v>674</v>
      </c>
      <c r="J960" s="14">
        <v>10</v>
      </c>
      <c r="K960" s="12">
        <v>1</v>
      </c>
      <c r="L960" s="46" t="s">
        <v>510</v>
      </c>
      <c r="M960" s="47" t="s">
        <v>222</v>
      </c>
      <c r="N960" s="47" t="s">
        <v>233</v>
      </c>
      <c r="O960" s="47" t="s">
        <v>240</v>
      </c>
      <c r="P960" s="3"/>
      <c r="Q960" s="346">
        <v>0</v>
      </c>
      <c r="R960" s="125">
        <v>0</v>
      </c>
    </row>
    <row r="961" spans="8:18" ht="18.75" hidden="1">
      <c r="H961" s="2" t="s">
        <v>612</v>
      </c>
      <c r="I961" s="5">
        <v>674</v>
      </c>
      <c r="J961" s="4">
        <v>10</v>
      </c>
      <c r="K961" s="12">
        <v>1</v>
      </c>
      <c r="L961" s="46" t="s">
        <v>510</v>
      </c>
      <c r="M961" s="47" t="s">
        <v>222</v>
      </c>
      <c r="N961" s="47" t="s">
        <v>233</v>
      </c>
      <c r="O961" s="47" t="s">
        <v>41</v>
      </c>
      <c r="P961" s="7"/>
      <c r="Q961" s="345">
        <v>0</v>
      </c>
      <c r="R961" s="124">
        <v>0</v>
      </c>
    </row>
    <row r="962" spans="8:18" ht="18.75" hidden="1">
      <c r="H962" s="13" t="s">
        <v>281</v>
      </c>
      <c r="I962" s="5">
        <v>674</v>
      </c>
      <c r="J962" s="4">
        <v>10</v>
      </c>
      <c r="K962" s="12">
        <v>1</v>
      </c>
      <c r="L962" s="46" t="s">
        <v>510</v>
      </c>
      <c r="M962" s="47" t="s">
        <v>222</v>
      </c>
      <c r="N962" s="47" t="s">
        <v>233</v>
      </c>
      <c r="O962" s="47" t="s">
        <v>41</v>
      </c>
      <c r="P962" s="3">
        <v>310</v>
      </c>
      <c r="Q962" s="346">
        <v>0</v>
      </c>
      <c r="R962" s="125"/>
    </row>
    <row r="963" spans="8:18" ht="18.75">
      <c r="H963" s="68" t="s">
        <v>209</v>
      </c>
      <c r="I963" s="41"/>
      <c r="J963" s="42"/>
      <c r="K963" s="42"/>
      <c r="L963" s="43"/>
      <c r="M963" s="44"/>
      <c r="N963" s="44"/>
      <c r="O963" s="44"/>
      <c r="P963" s="6"/>
      <c r="Q963" s="122">
        <f>Q13+Q41+Q51+Q455+Q587+Q620+Q659+Q807+Q887</f>
        <v>1077925.7</v>
      </c>
      <c r="R963" s="122">
        <f>R13+R41+R51+R455+R587+R620+R659+R807+R887</f>
        <v>1034432.7000000001</v>
      </c>
    </row>
  </sheetData>
  <sheetProtection/>
  <mergeCells count="44">
    <mergeCell ref="I4:R4"/>
    <mergeCell ref="I5:R5"/>
    <mergeCell ref="H6:R6"/>
    <mergeCell ref="Q10:Q11"/>
    <mergeCell ref="R10:R11"/>
    <mergeCell ref="L12:O12"/>
    <mergeCell ref="H10:H11"/>
    <mergeCell ref="J10:J11"/>
    <mergeCell ref="I10:I11"/>
    <mergeCell ref="K10:K11"/>
    <mergeCell ref="L10:O11"/>
    <mergeCell ref="P10:P11"/>
    <mergeCell ref="A13:F13"/>
    <mergeCell ref="E190:F190"/>
    <mergeCell ref="D92:F92"/>
    <mergeCell ref="C19:F19"/>
    <mergeCell ref="D22:F22"/>
    <mergeCell ref="A14:F14"/>
    <mergeCell ref="C288:F288"/>
    <mergeCell ref="E549:F549"/>
    <mergeCell ref="E67:F67"/>
    <mergeCell ref="C274:F274"/>
    <mergeCell ref="D548:F548"/>
    <mergeCell ref="D332:F332"/>
    <mergeCell ref="E484:F484"/>
    <mergeCell ref="E467:F467"/>
    <mergeCell ref="D394:F394"/>
    <mergeCell ref="D290:F290"/>
    <mergeCell ref="D367:F367"/>
    <mergeCell ref="E305:F305"/>
    <mergeCell ref="E384:F384"/>
    <mergeCell ref="D303:F303"/>
    <mergeCell ref="E356:F356"/>
    <mergeCell ref="E304:F304"/>
    <mergeCell ref="D483:F483"/>
    <mergeCell ref="D358:F358"/>
    <mergeCell ref="A715:F715"/>
    <mergeCell ref="D781:F781"/>
    <mergeCell ref="E709:F709"/>
    <mergeCell ref="E710:F710"/>
    <mergeCell ref="A716:F716"/>
    <mergeCell ref="C717:F717"/>
    <mergeCell ref="D471:F471"/>
    <mergeCell ref="A469:F469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6"/>
  <sheetViews>
    <sheetView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88.140625" style="178" customWidth="1"/>
    <col min="2" max="2" width="15.00390625" style="178" customWidth="1"/>
    <col min="3" max="3" width="6.28125" style="197" customWidth="1"/>
    <col min="4" max="4" width="6.140625" style="197" customWidth="1"/>
    <col min="5" max="5" width="5.00390625" style="178" customWidth="1"/>
    <col min="6" max="6" width="21.140625" style="216" customWidth="1"/>
    <col min="7" max="7" width="28.140625" style="224" customWidth="1"/>
    <col min="8" max="16384" width="9.140625" style="178" customWidth="1"/>
  </cols>
  <sheetData>
    <row r="1" spans="2:6" ht="24.75" customHeight="1">
      <c r="B1" s="379" t="s">
        <v>485</v>
      </c>
      <c r="C1" s="379"/>
      <c r="D1" s="379"/>
      <c r="E1" s="379"/>
      <c r="F1" s="379"/>
    </row>
    <row r="2" spans="2:6" ht="22.5" customHeight="1">
      <c r="B2" s="379" t="s">
        <v>486</v>
      </c>
      <c r="C2" s="379"/>
      <c r="D2" s="379"/>
      <c r="E2" s="379"/>
      <c r="F2" s="379"/>
    </row>
    <row r="3" spans="2:6" ht="21" customHeight="1">
      <c r="B3" s="379" t="s">
        <v>487</v>
      </c>
      <c r="C3" s="379"/>
      <c r="D3" s="379"/>
      <c r="E3" s="379"/>
      <c r="F3" s="379"/>
    </row>
    <row r="4" spans="1:6" ht="18.75">
      <c r="A4" s="188"/>
      <c r="B4" s="189" t="s">
        <v>488</v>
      </c>
      <c r="C4" s="189"/>
      <c r="D4" s="189"/>
      <c r="E4" s="189"/>
      <c r="F4" s="215"/>
    </row>
    <row r="5" spans="1:6" ht="18.75">
      <c r="A5" s="188"/>
      <c r="B5" s="189"/>
      <c r="C5" s="189"/>
      <c r="D5" s="189"/>
      <c r="E5" s="189"/>
      <c r="F5" s="215"/>
    </row>
    <row r="6" spans="1:7" ht="18.75">
      <c r="A6" s="383" t="s">
        <v>489</v>
      </c>
      <c r="B6" s="383"/>
      <c r="C6" s="383"/>
      <c r="D6" s="383"/>
      <c r="E6" s="383"/>
      <c r="F6" s="383"/>
      <c r="G6" s="384"/>
    </row>
    <row r="7" spans="1:7" ht="18.75">
      <c r="A7" s="383" t="s">
        <v>1011</v>
      </c>
      <c r="B7" s="383"/>
      <c r="C7" s="383"/>
      <c r="D7" s="383"/>
      <c r="E7" s="383"/>
      <c r="F7" s="383"/>
      <c r="G7" s="385"/>
    </row>
    <row r="8" spans="1:6" ht="18.75">
      <c r="A8" s="382"/>
      <c r="B8" s="382"/>
      <c r="C8" s="382"/>
      <c r="D8" s="382"/>
      <c r="E8" s="382"/>
      <c r="F8" s="382"/>
    </row>
    <row r="9" spans="1:7" ht="17.25" customHeight="1">
      <c r="A9" s="190"/>
      <c r="B9" s="190"/>
      <c r="C9" s="191"/>
      <c r="D9" s="191"/>
      <c r="E9" s="190"/>
      <c r="G9" s="225" t="s">
        <v>342</v>
      </c>
    </row>
    <row r="10" spans="1:7" ht="15.75" customHeight="1">
      <c r="A10" s="386" t="s">
        <v>195</v>
      </c>
      <c r="B10" s="386" t="s">
        <v>191</v>
      </c>
      <c r="C10" s="387" t="s">
        <v>194</v>
      </c>
      <c r="D10" s="387" t="s">
        <v>87</v>
      </c>
      <c r="E10" s="386" t="s">
        <v>190</v>
      </c>
      <c r="F10" s="380" t="s">
        <v>490</v>
      </c>
      <c r="G10" s="391" t="s">
        <v>491</v>
      </c>
    </row>
    <row r="11" spans="1:7" ht="15.75" customHeight="1">
      <c r="A11" s="386"/>
      <c r="B11" s="386"/>
      <c r="C11" s="387"/>
      <c r="D11" s="387"/>
      <c r="E11" s="386"/>
      <c r="F11" s="381"/>
      <c r="G11" s="392"/>
    </row>
    <row r="12" spans="1:7" ht="15.75">
      <c r="A12" s="192">
        <v>1</v>
      </c>
      <c r="B12" s="192">
        <v>2</v>
      </c>
      <c r="C12" s="193">
        <v>3</v>
      </c>
      <c r="D12" s="193">
        <v>4</v>
      </c>
      <c r="E12" s="192">
        <v>5</v>
      </c>
      <c r="F12" s="217">
        <v>6</v>
      </c>
      <c r="G12" s="320">
        <v>7</v>
      </c>
    </row>
    <row r="13" spans="1:7" s="194" customFormat="1" ht="31.5">
      <c r="A13" s="289" t="s">
        <v>597</v>
      </c>
      <c r="B13" s="321" t="s">
        <v>703</v>
      </c>
      <c r="C13" s="322"/>
      <c r="D13" s="322"/>
      <c r="E13" s="321"/>
      <c r="F13" s="220">
        <f>F14+F17+F22+F27+F38</f>
        <v>673</v>
      </c>
      <c r="G13" s="220">
        <f>G14+G17+G22+G27+G38</f>
        <v>673</v>
      </c>
    </row>
    <row r="14" spans="1:7" ht="31.5" hidden="1">
      <c r="A14" s="334" t="s">
        <v>169</v>
      </c>
      <c r="B14" s="323" t="s">
        <v>704</v>
      </c>
      <c r="C14" s="324"/>
      <c r="D14" s="324"/>
      <c r="E14" s="323"/>
      <c r="F14" s="344">
        <f>F15</f>
        <v>0</v>
      </c>
      <c r="G14" s="221">
        <f>G15</f>
        <v>0</v>
      </c>
    </row>
    <row r="15" spans="1:7" ht="15.75" hidden="1">
      <c r="A15" s="290" t="s">
        <v>64</v>
      </c>
      <c r="B15" s="323" t="s">
        <v>705</v>
      </c>
      <c r="C15" s="324"/>
      <c r="D15" s="324"/>
      <c r="E15" s="323"/>
      <c r="F15" s="344">
        <f>F16</f>
        <v>0</v>
      </c>
      <c r="G15" s="221">
        <f>G16</f>
        <v>0</v>
      </c>
    </row>
    <row r="16" spans="1:7" ht="31.5" hidden="1">
      <c r="A16" s="290" t="s">
        <v>277</v>
      </c>
      <c r="B16" s="323" t="s">
        <v>705</v>
      </c>
      <c r="C16" s="324" t="s">
        <v>706</v>
      </c>
      <c r="D16" s="324" t="s">
        <v>94</v>
      </c>
      <c r="E16" s="323">
        <v>240</v>
      </c>
      <c r="F16" s="344">
        <f>'приложение 4'!Q735</f>
        <v>0</v>
      </c>
      <c r="G16" s="221">
        <f>'приложение 4'!R735</f>
        <v>0</v>
      </c>
    </row>
    <row r="17" spans="1:7" ht="31.5">
      <c r="A17" s="334" t="s">
        <v>54</v>
      </c>
      <c r="B17" s="323" t="s">
        <v>707</v>
      </c>
      <c r="C17" s="324"/>
      <c r="D17" s="324"/>
      <c r="E17" s="323"/>
      <c r="F17" s="221">
        <f>F18+F20</f>
        <v>109.39999999999999</v>
      </c>
      <c r="G17" s="221">
        <f>G18+G20</f>
        <v>109.4</v>
      </c>
    </row>
    <row r="18" spans="1:7" ht="15.75" hidden="1">
      <c r="A18" s="290" t="s">
        <v>64</v>
      </c>
      <c r="B18" s="323" t="s">
        <v>708</v>
      </c>
      <c r="C18" s="324"/>
      <c r="D18" s="324"/>
      <c r="E18" s="323"/>
      <c r="F18" s="344">
        <f>F19</f>
        <v>0</v>
      </c>
      <c r="G18" s="221">
        <f>G19</f>
        <v>0</v>
      </c>
    </row>
    <row r="19" spans="1:7" ht="31.5" hidden="1">
      <c r="A19" s="290" t="s">
        <v>277</v>
      </c>
      <c r="B19" s="323" t="s">
        <v>708</v>
      </c>
      <c r="C19" s="324" t="s">
        <v>706</v>
      </c>
      <c r="D19" s="324" t="s">
        <v>94</v>
      </c>
      <c r="E19" s="323">
        <v>240</v>
      </c>
      <c r="F19" s="344">
        <f>'приложение 4'!Q738</f>
        <v>0</v>
      </c>
      <c r="G19" s="221">
        <f>'приложение 4'!R738</f>
        <v>0</v>
      </c>
    </row>
    <row r="20" spans="1:7" ht="15.75">
      <c r="A20" s="291" t="s">
        <v>57</v>
      </c>
      <c r="B20" s="323" t="s">
        <v>709</v>
      </c>
      <c r="C20" s="324"/>
      <c r="D20" s="324"/>
      <c r="E20" s="323"/>
      <c r="F20" s="221">
        <f>F21</f>
        <v>109.39999999999999</v>
      </c>
      <c r="G20" s="221">
        <f>G21</f>
        <v>109.4</v>
      </c>
    </row>
    <row r="21" spans="1:7" ht="15.75">
      <c r="A21" s="291" t="s">
        <v>279</v>
      </c>
      <c r="B21" s="323" t="s">
        <v>709</v>
      </c>
      <c r="C21" s="324" t="s">
        <v>706</v>
      </c>
      <c r="D21" s="324" t="s">
        <v>93</v>
      </c>
      <c r="E21" s="323">
        <v>610</v>
      </c>
      <c r="F21" s="221">
        <f>'приложение 4'!Q665</f>
        <v>109.39999999999999</v>
      </c>
      <c r="G21" s="221">
        <f>'приложение 4'!R665</f>
        <v>109.4</v>
      </c>
    </row>
    <row r="22" spans="1:7" ht="31.5">
      <c r="A22" s="334" t="s">
        <v>51</v>
      </c>
      <c r="B22" s="323" t="s">
        <v>710</v>
      </c>
      <c r="C22" s="324"/>
      <c r="D22" s="324"/>
      <c r="E22" s="323"/>
      <c r="F22" s="221">
        <f>F23+F25</f>
        <v>3.3</v>
      </c>
      <c r="G22" s="221">
        <f>G23+G25</f>
        <v>3.3</v>
      </c>
    </row>
    <row r="23" spans="1:7" ht="15.75" hidden="1">
      <c r="A23" s="290" t="s">
        <v>64</v>
      </c>
      <c r="B23" s="323" t="s">
        <v>711</v>
      </c>
      <c r="C23" s="324"/>
      <c r="D23" s="324"/>
      <c r="E23" s="323"/>
      <c r="F23" s="344">
        <f>F24</f>
        <v>0</v>
      </c>
      <c r="G23" s="221">
        <f>G24</f>
        <v>0</v>
      </c>
    </row>
    <row r="24" spans="1:7" ht="31.5" hidden="1">
      <c r="A24" s="290" t="s">
        <v>277</v>
      </c>
      <c r="B24" s="323" t="s">
        <v>711</v>
      </c>
      <c r="C24" s="324" t="s">
        <v>706</v>
      </c>
      <c r="D24" s="324" t="s">
        <v>94</v>
      </c>
      <c r="E24" s="323">
        <v>240</v>
      </c>
      <c r="F24" s="344">
        <f>'приложение 4'!Q741</f>
        <v>0</v>
      </c>
      <c r="G24" s="221">
        <f>'приложение 4'!R741</f>
        <v>0</v>
      </c>
    </row>
    <row r="25" spans="1:7" s="194" customFormat="1" ht="15.75">
      <c r="A25" s="334" t="s">
        <v>60</v>
      </c>
      <c r="B25" s="323" t="s">
        <v>712</v>
      </c>
      <c r="C25" s="324"/>
      <c r="D25" s="324"/>
      <c r="E25" s="323"/>
      <c r="F25" s="221">
        <f>F26</f>
        <v>3.3</v>
      </c>
      <c r="G25" s="221">
        <f>G26</f>
        <v>3.3</v>
      </c>
    </row>
    <row r="26" spans="1:7" ht="15.75">
      <c r="A26" s="292" t="s">
        <v>279</v>
      </c>
      <c r="B26" s="323" t="s">
        <v>712</v>
      </c>
      <c r="C26" s="324" t="s">
        <v>706</v>
      </c>
      <c r="D26" s="324" t="s">
        <v>96</v>
      </c>
      <c r="E26" s="323">
        <v>610</v>
      </c>
      <c r="F26" s="221">
        <f>'приложение 4'!Q688</f>
        <v>3.3</v>
      </c>
      <c r="G26" s="221">
        <f>'приложение 4'!R688</f>
        <v>3.3</v>
      </c>
    </row>
    <row r="27" spans="1:7" ht="47.25">
      <c r="A27" s="334" t="s">
        <v>268</v>
      </c>
      <c r="B27" s="323" t="s">
        <v>713</v>
      </c>
      <c r="C27" s="324"/>
      <c r="D27" s="324"/>
      <c r="E27" s="323"/>
      <c r="F27" s="221">
        <f>F28+F34+F36+F30+F32</f>
        <v>141.6</v>
      </c>
      <c r="G27" s="221">
        <f>G28+G34+G36+G30+G32</f>
        <v>141.6</v>
      </c>
    </row>
    <row r="28" spans="1:7" ht="15.75">
      <c r="A28" s="290" t="s">
        <v>64</v>
      </c>
      <c r="B28" s="323" t="s">
        <v>714</v>
      </c>
      <c r="C28" s="324"/>
      <c r="D28" s="324"/>
      <c r="E28" s="323"/>
      <c r="F28" s="221">
        <f>F29</f>
        <v>17.999999999999993</v>
      </c>
      <c r="G28" s="221">
        <f>G29</f>
        <v>18</v>
      </c>
    </row>
    <row r="29" spans="1:7" ht="31.5">
      <c r="A29" s="290" t="s">
        <v>277</v>
      </c>
      <c r="B29" s="323" t="s">
        <v>714</v>
      </c>
      <c r="C29" s="324" t="s">
        <v>706</v>
      </c>
      <c r="D29" s="324" t="s">
        <v>94</v>
      </c>
      <c r="E29" s="323">
        <v>240</v>
      </c>
      <c r="F29" s="221">
        <f>'приложение 4'!Q744</f>
        <v>17.999999999999993</v>
      </c>
      <c r="G29" s="221">
        <f>'приложение 4'!R744</f>
        <v>18</v>
      </c>
    </row>
    <row r="30" spans="1:7" ht="15.75">
      <c r="A30" s="341" t="s">
        <v>57</v>
      </c>
      <c r="B30" s="323" t="s">
        <v>715</v>
      </c>
      <c r="C30" s="324"/>
      <c r="D30" s="324"/>
      <c r="E30" s="323"/>
      <c r="F30" s="221">
        <f>F31</f>
        <v>4.9</v>
      </c>
      <c r="G30" s="221">
        <f>G31</f>
        <v>4.9</v>
      </c>
    </row>
    <row r="31" spans="1:7" ht="15.75">
      <c r="A31" s="292" t="s">
        <v>279</v>
      </c>
      <c r="B31" s="323" t="s">
        <v>715</v>
      </c>
      <c r="C31" s="324" t="s">
        <v>706</v>
      </c>
      <c r="D31" s="324" t="s">
        <v>93</v>
      </c>
      <c r="E31" s="323">
        <v>610</v>
      </c>
      <c r="F31" s="221">
        <f>'приложение 4'!Q668</f>
        <v>4.9</v>
      </c>
      <c r="G31" s="221">
        <f>'приложение 4'!R668</f>
        <v>4.9</v>
      </c>
    </row>
    <row r="32" spans="1:7" ht="15.75">
      <c r="A32" s="334" t="s">
        <v>60</v>
      </c>
      <c r="B32" s="323" t="s">
        <v>716</v>
      </c>
      <c r="C32" s="324"/>
      <c r="D32" s="324"/>
      <c r="E32" s="323"/>
      <c r="F32" s="221">
        <f>F33</f>
        <v>22.9</v>
      </c>
      <c r="G32" s="221">
        <f>G33</f>
        <v>22.9</v>
      </c>
    </row>
    <row r="33" spans="1:7" ht="15.75">
      <c r="A33" s="292" t="s">
        <v>279</v>
      </c>
      <c r="B33" s="323" t="s">
        <v>716</v>
      </c>
      <c r="C33" s="324" t="s">
        <v>706</v>
      </c>
      <c r="D33" s="324" t="s">
        <v>96</v>
      </c>
      <c r="E33" s="323">
        <v>610</v>
      </c>
      <c r="F33" s="221">
        <f>'приложение 4'!Q691</f>
        <v>22.9</v>
      </c>
      <c r="G33" s="221">
        <f>'приложение 4'!R691</f>
        <v>22.9</v>
      </c>
    </row>
    <row r="34" spans="1:7" ht="15.75">
      <c r="A34" s="341" t="s">
        <v>61</v>
      </c>
      <c r="B34" s="323" t="s">
        <v>717</v>
      </c>
      <c r="C34" s="324"/>
      <c r="D34" s="324"/>
      <c r="E34" s="323"/>
      <c r="F34" s="221">
        <f>F35</f>
        <v>5.8</v>
      </c>
      <c r="G34" s="221">
        <f>G35</f>
        <v>5.8</v>
      </c>
    </row>
    <row r="35" spans="1:7" ht="15.75">
      <c r="A35" s="293" t="s">
        <v>279</v>
      </c>
      <c r="B35" s="323" t="s">
        <v>717</v>
      </c>
      <c r="C35" s="324" t="s">
        <v>718</v>
      </c>
      <c r="D35" s="324" t="s">
        <v>97</v>
      </c>
      <c r="E35" s="323">
        <v>610</v>
      </c>
      <c r="F35" s="221">
        <f>'приложение 4'!Q333</f>
        <v>5.8</v>
      </c>
      <c r="G35" s="221">
        <f>'приложение 4'!R333</f>
        <v>5.8</v>
      </c>
    </row>
    <row r="36" spans="1:7" ht="15.75">
      <c r="A36" s="341" t="s">
        <v>47</v>
      </c>
      <c r="B36" s="323" t="s">
        <v>719</v>
      </c>
      <c r="C36" s="324"/>
      <c r="D36" s="324"/>
      <c r="E36" s="323"/>
      <c r="F36" s="221">
        <f>F37</f>
        <v>90</v>
      </c>
      <c r="G36" s="221">
        <f>G37</f>
        <v>90</v>
      </c>
    </row>
    <row r="37" spans="1:7" ht="15.75">
      <c r="A37" s="292" t="s">
        <v>279</v>
      </c>
      <c r="B37" s="323" t="s">
        <v>719</v>
      </c>
      <c r="C37" s="324" t="s">
        <v>718</v>
      </c>
      <c r="D37" s="324" t="s">
        <v>126</v>
      </c>
      <c r="E37" s="323">
        <v>610</v>
      </c>
      <c r="F37" s="221">
        <f>'приложение 4'!Q436</f>
        <v>90</v>
      </c>
      <c r="G37" s="221">
        <f>'приложение 4'!R436</f>
        <v>90</v>
      </c>
    </row>
    <row r="38" spans="1:7" ht="31.5">
      <c r="A38" s="334" t="s">
        <v>2</v>
      </c>
      <c r="B38" s="323" t="s">
        <v>720</v>
      </c>
      <c r="C38" s="324"/>
      <c r="D38" s="324"/>
      <c r="E38" s="323"/>
      <c r="F38" s="221">
        <f>F39+F42</f>
        <v>418.7</v>
      </c>
      <c r="G38" s="221">
        <f>G39+G42</f>
        <v>418.70000000000005</v>
      </c>
    </row>
    <row r="39" spans="1:7" ht="15.75">
      <c r="A39" s="290" t="s">
        <v>64</v>
      </c>
      <c r="B39" s="323" t="s">
        <v>721</v>
      </c>
      <c r="C39" s="324"/>
      <c r="D39" s="324"/>
      <c r="E39" s="323"/>
      <c r="F39" s="221">
        <f>F40+F41</f>
        <v>252.29999999999998</v>
      </c>
      <c r="G39" s="221">
        <f>G40+G41</f>
        <v>252.3</v>
      </c>
    </row>
    <row r="40" spans="1:7" ht="31.5">
      <c r="A40" s="290" t="s">
        <v>277</v>
      </c>
      <c r="B40" s="323" t="s">
        <v>721</v>
      </c>
      <c r="C40" s="324" t="s">
        <v>706</v>
      </c>
      <c r="D40" s="324" t="s">
        <v>94</v>
      </c>
      <c r="E40" s="323">
        <v>240</v>
      </c>
      <c r="F40" s="221">
        <f>'приложение 4'!Q747</f>
        <v>252.29999999999998</v>
      </c>
      <c r="G40" s="221">
        <f>'приложение 4'!R747</f>
        <v>252.3</v>
      </c>
    </row>
    <row r="41" spans="1:7" ht="31.5" hidden="1">
      <c r="A41" s="294" t="s">
        <v>282</v>
      </c>
      <c r="B41" s="323" t="s">
        <v>721</v>
      </c>
      <c r="C41" s="324" t="s">
        <v>706</v>
      </c>
      <c r="D41" s="324" t="s">
        <v>94</v>
      </c>
      <c r="E41" s="323">
        <v>320</v>
      </c>
      <c r="F41" s="344">
        <f>'приложение 4'!Q748</f>
        <v>0</v>
      </c>
      <c r="G41" s="221">
        <f>'приложение 4'!R748</f>
        <v>0</v>
      </c>
    </row>
    <row r="42" spans="1:7" ht="15.75">
      <c r="A42" s="334" t="s">
        <v>60</v>
      </c>
      <c r="B42" s="323" t="s">
        <v>722</v>
      </c>
      <c r="C42" s="324"/>
      <c r="D42" s="324"/>
      <c r="E42" s="323"/>
      <c r="F42" s="221">
        <f>F43</f>
        <v>166.4</v>
      </c>
      <c r="G42" s="221">
        <f>G43</f>
        <v>166.4</v>
      </c>
    </row>
    <row r="43" spans="1:7" ht="15.75">
      <c r="A43" s="292" t="s">
        <v>279</v>
      </c>
      <c r="B43" s="323" t="s">
        <v>722</v>
      </c>
      <c r="C43" s="324" t="s">
        <v>706</v>
      </c>
      <c r="D43" s="324" t="s">
        <v>96</v>
      </c>
      <c r="E43" s="323">
        <v>610</v>
      </c>
      <c r="F43" s="221">
        <f>'приложение 4'!Q694</f>
        <v>166.4</v>
      </c>
      <c r="G43" s="221">
        <f>'приложение 4'!R694</f>
        <v>166.4</v>
      </c>
    </row>
    <row r="44" spans="1:7" ht="31.5">
      <c r="A44" s="295" t="s">
        <v>503</v>
      </c>
      <c r="B44" s="321" t="s">
        <v>723</v>
      </c>
      <c r="C44" s="322"/>
      <c r="D44" s="322"/>
      <c r="E44" s="321"/>
      <c r="F44" s="220">
        <f>F45+F49+F55</f>
        <v>803.6</v>
      </c>
      <c r="G44" s="220">
        <f>G45+G49+G55</f>
        <v>788</v>
      </c>
    </row>
    <row r="45" spans="1:7" ht="15.75">
      <c r="A45" s="296" t="s">
        <v>344</v>
      </c>
      <c r="B45" s="323" t="s">
        <v>724</v>
      </c>
      <c r="C45" s="324"/>
      <c r="D45" s="324"/>
      <c r="E45" s="323"/>
      <c r="F45" s="221">
        <f>F46</f>
        <v>220</v>
      </c>
      <c r="G45" s="221">
        <f>G46</f>
        <v>220</v>
      </c>
    </row>
    <row r="46" spans="1:7" ht="31.5">
      <c r="A46" s="334" t="s">
        <v>0</v>
      </c>
      <c r="B46" s="323" t="s">
        <v>725</v>
      </c>
      <c r="C46" s="324"/>
      <c r="D46" s="324"/>
      <c r="E46" s="323"/>
      <c r="F46" s="221">
        <f>F47+F48</f>
        <v>220</v>
      </c>
      <c r="G46" s="221">
        <f>G47+G48</f>
        <v>220</v>
      </c>
    </row>
    <row r="47" spans="1:7" ht="15.75">
      <c r="A47" s="294" t="s">
        <v>237</v>
      </c>
      <c r="B47" s="323" t="s">
        <v>725</v>
      </c>
      <c r="C47" s="324" t="s">
        <v>718</v>
      </c>
      <c r="D47" s="324" t="s">
        <v>88</v>
      </c>
      <c r="E47" s="323">
        <v>340</v>
      </c>
      <c r="F47" s="221">
        <f>'приложение 4'!Q87</f>
        <v>220</v>
      </c>
      <c r="G47" s="221">
        <f>'приложение 4'!R87</f>
        <v>220</v>
      </c>
    </row>
    <row r="48" spans="1:7" ht="15.75" hidden="1">
      <c r="A48" s="294" t="s">
        <v>237</v>
      </c>
      <c r="B48" s="323" t="s">
        <v>725</v>
      </c>
      <c r="C48" s="324" t="s">
        <v>726</v>
      </c>
      <c r="D48" s="324" t="s">
        <v>88</v>
      </c>
      <c r="E48" s="323">
        <v>340</v>
      </c>
      <c r="F48" s="344">
        <f>'приложение 4'!Q28</f>
        <v>0</v>
      </c>
      <c r="G48" s="221">
        <f>'приложение 4'!R28</f>
        <v>0</v>
      </c>
    </row>
    <row r="49" spans="1:7" ht="15.75">
      <c r="A49" s="294" t="s">
        <v>345</v>
      </c>
      <c r="B49" s="323" t="s">
        <v>727</v>
      </c>
      <c r="C49" s="324"/>
      <c r="D49" s="324"/>
      <c r="E49" s="323"/>
      <c r="F49" s="221">
        <f>F50</f>
        <v>206.6</v>
      </c>
      <c r="G49" s="221">
        <f>G50</f>
        <v>191</v>
      </c>
    </row>
    <row r="50" spans="1:7" ht="31.5">
      <c r="A50" s="294" t="s">
        <v>0</v>
      </c>
      <c r="B50" s="323" t="s">
        <v>728</v>
      </c>
      <c r="C50" s="324"/>
      <c r="D50" s="324"/>
      <c r="E50" s="323"/>
      <c r="F50" s="221">
        <f>F51+F52+F53+F54</f>
        <v>206.6</v>
      </c>
      <c r="G50" s="221">
        <f>G51+G52+G53+G54</f>
        <v>191</v>
      </c>
    </row>
    <row r="51" spans="1:7" ht="15.75">
      <c r="A51" s="297" t="s">
        <v>210</v>
      </c>
      <c r="B51" s="323" t="s">
        <v>728</v>
      </c>
      <c r="C51" s="324" t="s">
        <v>718</v>
      </c>
      <c r="D51" s="324" t="s">
        <v>88</v>
      </c>
      <c r="E51" s="323">
        <v>120</v>
      </c>
      <c r="F51" s="221">
        <f>'приложение 4'!Q90</f>
        <v>89.8</v>
      </c>
      <c r="G51" s="221">
        <f>'приложение 4'!R90</f>
        <v>89.7</v>
      </c>
    </row>
    <row r="52" spans="1:7" ht="31.5">
      <c r="A52" s="294" t="s">
        <v>277</v>
      </c>
      <c r="B52" s="323" t="s">
        <v>728</v>
      </c>
      <c r="C52" s="324" t="s">
        <v>718</v>
      </c>
      <c r="D52" s="324" t="s">
        <v>88</v>
      </c>
      <c r="E52" s="323">
        <v>240</v>
      </c>
      <c r="F52" s="221">
        <f>'приложение 4'!Q91</f>
        <v>116.8</v>
      </c>
      <c r="G52" s="221">
        <f>'приложение 4'!R91</f>
        <v>101.3</v>
      </c>
    </row>
    <row r="53" spans="1:7" ht="15.75" hidden="1">
      <c r="A53" s="297" t="s">
        <v>210</v>
      </c>
      <c r="B53" s="323" t="s">
        <v>728</v>
      </c>
      <c r="C53" s="324" t="s">
        <v>726</v>
      </c>
      <c r="D53" s="324" t="s">
        <v>88</v>
      </c>
      <c r="E53" s="323">
        <v>120</v>
      </c>
      <c r="F53" s="344">
        <f>'приложение 4'!Q31</f>
        <v>0</v>
      </c>
      <c r="G53" s="221">
        <f>'приложение 4'!R31</f>
        <v>0</v>
      </c>
    </row>
    <row r="54" spans="1:7" ht="31.5" hidden="1">
      <c r="A54" s="294" t="s">
        <v>277</v>
      </c>
      <c r="B54" s="323" t="s">
        <v>728</v>
      </c>
      <c r="C54" s="324" t="s">
        <v>726</v>
      </c>
      <c r="D54" s="324" t="s">
        <v>88</v>
      </c>
      <c r="E54" s="323">
        <v>240</v>
      </c>
      <c r="F54" s="344">
        <f>'приложение 4'!Q32</f>
        <v>0</v>
      </c>
      <c r="G54" s="221">
        <f>'приложение 4'!R32</f>
        <v>0</v>
      </c>
    </row>
    <row r="55" spans="1:7" ht="31.5">
      <c r="A55" s="294" t="s">
        <v>506</v>
      </c>
      <c r="B55" s="323" t="s">
        <v>729</v>
      </c>
      <c r="C55" s="324"/>
      <c r="D55" s="324"/>
      <c r="E55" s="323"/>
      <c r="F55" s="221">
        <f>F56+F60</f>
        <v>377</v>
      </c>
      <c r="G55" s="221">
        <f>G56+G60</f>
        <v>377</v>
      </c>
    </row>
    <row r="56" spans="1:7" ht="31.5">
      <c r="A56" s="294" t="s">
        <v>0</v>
      </c>
      <c r="B56" s="323" t="s">
        <v>730</v>
      </c>
      <c r="C56" s="324"/>
      <c r="D56" s="324"/>
      <c r="E56" s="323"/>
      <c r="F56" s="221">
        <f>F58+F59+F57</f>
        <v>54.2</v>
      </c>
      <c r="G56" s="221">
        <f>G58+G59+G57</f>
        <v>54.2</v>
      </c>
    </row>
    <row r="57" spans="1:7" s="194" customFormat="1" ht="31.5">
      <c r="A57" s="294" t="s">
        <v>277</v>
      </c>
      <c r="B57" s="323" t="s">
        <v>730</v>
      </c>
      <c r="C57" s="324" t="s">
        <v>718</v>
      </c>
      <c r="D57" s="324" t="s">
        <v>88</v>
      </c>
      <c r="E57" s="323">
        <v>240</v>
      </c>
      <c r="F57" s="221">
        <f>'приложение 4'!Q94</f>
        <v>3.2</v>
      </c>
      <c r="G57" s="221">
        <f>'приложение 4'!R94</f>
        <v>3.2</v>
      </c>
    </row>
    <row r="58" spans="1:7" ht="15.75">
      <c r="A58" s="294" t="s">
        <v>281</v>
      </c>
      <c r="B58" s="323" t="s">
        <v>730</v>
      </c>
      <c r="C58" s="324" t="s">
        <v>718</v>
      </c>
      <c r="D58" s="324" t="s">
        <v>90</v>
      </c>
      <c r="E58" s="323">
        <v>310</v>
      </c>
      <c r="F58" s="221">
        <f>'приложение 4'!Q402</f>
        <v>51</v>
      </c>
      <c r="G58" s="221">
        <f>'приложение 4'!R402</f>
        <v>51</v>
      </c>
    </row>
    <row r="59" spans="1:7" ht="15.75" hidden="1">
      <c r="A59" s="294" t="s">
        <v>281</v>
      </c>
      <c r="B59" s="323" t="s">
        <v>730</v>
      </c>
      <c r="C59" s="324" t="s">
        <v>726</v>
      </c>
      <c r="D59" s="324" t="s">
        <v>90</v>
      </c>
      <c r="E59" s="323">
        <v>310</v>
      </c>
      <c r="F59" s="344">
        <f>'приложение 4'!Q38</f>
        <v>0</v>
      </c>
      <c r="G59" s="221">
        <f>'приложение 4'!R38</f>
        <v>0</v>
      </c>
    </row>
    <row r="60" spans="1:7" ht="15.75">
      <c r="A60" s="294" t="s">
        <v>473</v>
      </c>
      <c r="B60" s="323" t="s">
        <v>731</v>
      </c>
      <c r="C60" s="324"/>
      <c r="D60" s="324"/>
      <c r="E60" s="323"/>
      <c r="F60" s="221">
        <f>F61+F62</f>
        <v>322.8</v>
      </c>
      <c r="G60" s="221">
        <f>G61+G62</f>
        <v>322.8</v>
      </c>
    </row>
    <row r="61" spans="1:7" ht="15.75">
      <c r="A61" s="294" t="s">
        <v>463</v>
      </c>
      <c r="B61" s="323" t="s">
        <v>731</v>
      </c>
      <c r="C61" s="324" t="s">
        <v>718</v>
      </c>
      <c r="D61" s="324" t="s">
        <v>90</v>
      </c>
      <c r="E61" s="323">
        <v>330</v>
      </c>
      <c r="F61" s="221">
        <f>'приложение 4'!Q404</f>
        <v>322.8</v>
      </c>
      <c r="G61" s="221">
        <f>'приложение 4'!R404</f>
        <v>322.8</v>
      </c>
    </row>
    <row r="62" spans="1:7" ht="15.75" hidden="1">
      <c r="A62" s="294" t="s">
        <v>463</v>
      </c>
      <c r="B62" s="323" t="s">
        <v>731</v>
      </c>
      <c r="C62" s="324" t="s">
        <v>726</v>
      </c>
      <c r="D62" s="324" t="s">
        <v>90</v>
      </c>
      <c r="E62" s="323">
        <v>330</v>
      </c>
      <c r="F62" s="344">
        <f>'приложение 4'!Q40</f>
        <v>0</v>
      </c>
      <c r="G62" s="221">
        <f>'приложение 4'!R40</f>
        <v>0</v>
      </c>
    </row>
    <row r="63" spans="1:7" ht="31.5">
      <c r="A63" s="298" t="s">
        <v>621</v>
      </c>
      <c r="B63" s="321" t="s">
        <v>732</v>
      </c>
      <c r="C63" s="322"/>
      <c r="D63" s="322"/>
      <c r="E63" s="321"/>
      <c r="F63" s="220">
        <f>F64+F67+F72</f>
        <v>32663</v>
      </c>
      <c r="G63" s="220">
        <f>G64+G67+G72</f>
        <v>25520.700000000004</v>
      </c>
    </row>
    <row r="64" spans="1:7" ht="47.25">
      <c r="A64" s="297" t="s">
        <v>361</v>
      </c>
      <c r="B64" s="323" t="s">
        <v>733</v>
      </c>
      <c r="C64" s="324"/>
      <c r="D64" s="324"/>
      <c r="E64" s="323"/>
      <c r="F64" s="221">
        <f>F65</f>
        <v>200</v>
      </c>
      <c r="G64" s="221">
        <f>G65</f>
        <v>200</v>
      </c>
    </row>
    <row r="65" spans="1:7" ht="15.75">
      <c r="A65" s="297" t="s">
        <v>47</v>
      </c>
      <c r="B65" s="323" t="s">
        <v>734</v>
      </c>
      <c r="C65" s="324"/>
      <c r="D65" s="324"/>
      <c r="E65" s="323"/>
      <c r="F65" s="221">
        <f>F66</f>
        <v>200</v>
      </c>
      <c r="G65" s="221">
        <f>G66</f>
        <v>200</v>
      </c>
    </row>
    <row r="66" spans="1:7" ht="15.75">
      <c r="A66" s="297" t="s">
        <v>279</v>
      </c>
      <c r="B66" s="323" t="s">
        <v>734</v>
      </c>
      <c r="C66" s="324" t="s">
        <v>718</v>
      </c>
      <c r="D66" s="324" t="s">
        <v>126</v>
      </c>
      <c r="E66" s="323">
        <v>610</v>
      </c>
      <c r="F66" s="221">
        <f>'приложение 4'!Q440</f>
        <v>200</v>
      </c>
      <c r="G66" s="221">
        <f>'приложение 4'!R440</f>
        <v>200</v>
      </c>
    </row>
    <row r="67" spans="1:7" ht="15.75">
      <c r="A67" s="297" t="s">
        <v>48</v>
      </c>
      <c r="B67" s="323" t="s">
        <v>735</v>
      </c>
      <c r="C67" s="324"/>
      <c r="D67" s="324"/>
      <c r="E67" s="323"/>
      <c r="F67" s="221">
        <f>F68+F70</f>
        <v>14082.7</v>
      </c>
      <c r="G67" s="221">
        <f>G68+G70</f>
        <v>14082.7</v>
      </c>
    </row>
    <row r="68" spans="1:7" ht="15.75">
      <c r="A68" s="297" t="s">
        <v>47</v>
      </c>
      <c r="B68" s="323" t="s">
        <v>736</v>
      </c>
      <c r="C68" s="324"/>
      <c r="D68" s="324"/>
      <c r="E68" s="323"/>
      <c r="F68" s="221">
        <f>F69</f>
        <v>11947.400000000001</v>
      </c>
      <c r="G68" s="221">
        <f>G69</f>
        <v>11947.4</v>
      </c>
    </row>
    <row r="69" spans="1:7" ht="15.75">
      <c r="A69" s="297" t="s">
        <v>279</v>
      </c>
      <c r="B69" s="323" t="s">
        <v>736</v>
      </c>
      <c r="C69" s="324" t="s">
        <v>718</v>
      </c>
      <c r="D69" s="324" t="s">
        <v>126</v>
      </c>
      <c r="E69" s="323">
        <v>610</v>
      </c>
      <c r="F69" s="221">
        <f>'приложение 4'!Q443</f>
        <v>11947.400000000001</v>
      </c>
      <c r="G69" s="221">
        <f>'приложение 4'!R443</f>
        <v>11947.4</v>
      </c>
    </row>
    <row r="70" spans="1:7" ht="31.5">
      <c r="A70" s="297" t="s">
        <v>353</v>
      </c>
      <c r="B70" s="323" t="s">
        <v>737</v>
      </c>
      <c r="C70" s="324"/>
      <c r="D70" s="324"/>
      <c r="E70" s="323"/>
      <c r="F70" s="221">
        <f>F71</f>
        <v>2135.3</v>
      </c>
      <c r="G70" s="221">
        <f>G71</f>
        <v>2135.3</v>
      </c>
    </row>
    <row r="71" spans="1:7" ht="15.75">
      <c r="A71" s="297" t="s">
        <v>279</v>
      </c>
      <c r="B71" s="323" t="s">
        <v>737</v>
      </c>
      <c r="C71" s="324" t="s">
        <v>718</v>
      </c>
      <c r="D71" s="324" t="s">
        <v>126</v>
      </c>
      <c r="E71" s="323">
        <v>610</v>
      </c>
      <c r="F71" s="221">
        <f>'приложение 4'!Q445</f>
        <v>2135.3</v>
      </c>
      <c r="G71" s="221">
        <f>'приложение 4'!R445</f>
        <v>2135.3</v>
      </c>
    </row>
    <row r="72" spans="1:7" s="194" customFormat="1" ht="31.5">
      <c r="A72" s="297" t="s">
        <v>433</v>
      </c>
      <c r="B72" s="323" t="s">
        <v>738</v>
      </c>
      <c r="C72" s="324"/>
      <c r="D72" s="324"/>
      <c r="E72" s="323"/>
      <c r="F72" s="221">
        <f>F75+F77+F79+F73</f>
        <v>18380.3</v>
      </c>
      <c r="G72" s="221">
        <f>G75+G77+G79+G73</f>
        <v>11238.000000000002</v>
      </c>
    </row>
    <row r="73" spans="1:7" ht="47.25">
      <c r="A73" s="334" t="s">
        <v>622</v>
      </c>
      <c r="B73" s="323" t="s">
        <v>739</v>
      </c>
      <c r="C73" s="324"/>
      <c r="D73" s="324"/>
      <c r="E73" s="323"/>
      <c r="F73" s="221">
        <f>F74</f>
        <v>11.6</v>
      </c>
      <c r="G73" s="221">
        <f>G74</f>
        <v>11.6</v>
      </c>
    </row>
    <row r="74" spans="1:7" ht="15.75">
      <c r="A74" s="294" t="s">
        <v>279</v>
      </c>
      <c r="B74" s="323" t="s">
        <v>739</v>
      </c>
      <c r="C74" s="324" t="s">
        <v>718</v>
      </c>
      <c r="D74" s="324" t="s">
        <v>126</v>
      </c>
      <c r="E74" s="323">
        <v>610</v>
      </c>
      <c r="F74" s="221">
        <f>'приложение 4'!Q448</f>
        <v>11.6</v>
      </c>
      <c r="G74" s="221">
        <f>'приложение 4'!R448</f>
        <v>11.6</v>
      </c>
    </row>
    <row r="75" spans="1:7" ht="47.25">
      <c r="A75" s="297" t="s">
        <v>363</v>
      </c>
      <c r="B75" s="323" t="s">
        <v>740</v>
      </c>
      <c r="C75" s="324"/>
      <c r="D75" s="324"/>
      <c r="E75" s="323"/>
      <c r="F75" s="221">
        <f>F76</f>
        <v>666.7</v>
      </c>
      <c r="G75" s="221">
        <f>G76</f>
        <v>666.7</v>
      </c>
    </row>
    <row r="76" spans="1:7" ht="15.75">
      <c r="A76" s="297" t="s">
        <v>279</v>
      </c>
      <c r="B76" s="323" t="s">
        <v>740</v>
      </c>
      <c r="C76" s="324" t="s">
        <v>718</v>
      </c>
      <c r="D76" s="324" t="s">
        <v>126</v>
      </c>
      <c r="E76" s="323">
        <v>610</v>
      </c>
      <c r="F76" s="221">
        <f>'приложение 4'!Q450</f>
        <v>666.7</v>
      </c>
      <c r="G76" s="221">
        <f>'приложение 4'!R450</f>
        <v>666.7</v>
      </c>
    </row>
    <row r="77" spans="1:7" ht="31.5">
      <c r="A77" s="299" t="s">
        <v>623</v>
      </c>
      <c r="B77" s="323" t="s">
        <v>741</v>
      </c>
      <c r="C77" s="324"/>
      <c r="D77" s="324"/>
      <c r="E77" s="323"/>
      <c r="F77" s="221">
        <f>F78</f>
        <v>10352.1</v>
      </c>
      <c r="G77" s="221">
        <f>G78</f>
        <v>10352.1</v>
      </c>
    </row>
    <row r="78" spans="1:7" ht="15.75">
      <c r="A78" s="297" t="s">
        <v>279</v>
      </c>
      <c r="B78" s="323" t="s">
        <v>741</v>
      </c>
      <c r="C78" s="324" t="s">
        <v>718</v>
      </c>
      <c r="D78" s="324" t="s">
        <v>126</v>
      </c>
      <c r="E78" s="323">
        <v>610</v>
      </c>
      <c r="F78" s="221">
        <f>'приложение 4'!Q452</f>
        <v>10352.1</v>
      </c>
      <c r="G78" s="221">
        <f>'приложение 4'!R452</f>
        <v>10352.1</v>
      </c>
    </row>
    <row r="79" spans="1:7" ht="47.25">
      <c r="A79" s="299" t="s">
        <v>448</v>
      </c>
      <c r="B79" s="323" t="s">
        <v>742</v>
      </c>
      <c r="C79" s="324"/>
      <c r="D79" s="324"/>
      <c r="E79" s="323"/>
      <c r="F79" s="221">
        <f>F80</f>
        <v>7349.9</v>
      </c>
      <c r="G79" s="221">
        <f>G80</f>
        <v>207.6</v>
      </c>
    </row>
    <row r="80" spans="1:7" ht="15.75">
      <c r="A80" s="297" t="s">
        <v>279</v>
      </c>
      <c r="B80" s="323" t="s">
        <v>742</v>
      </c>
      <c r="C80" s="324" t="s">
        <v>718</v>
      </c>
      <c r="D80" s="324" t="s">
        <v>126</v>
      </c>
      <c r="E80" s="323">
        <v>610</v>
      </c>
      <c r="F80" s="221">
        <f>'приложение 4'!Q454</f>
        <v>7349.9</v>
      </c>
      <c r="G80" s="221">
        <f>'приложение 4'!R454</f>
        <v>207.6</v>
      </c>
    </row>
    <row r="81" spans="1:7" ht="31.5">
      <c r="A81" s="289" t="s">
        <v>676</v>
      </c>
      <c r="B81" s="321" t="s">
        <v>287</v>
      </c>
      <c r="C81" s="322"/>
      <c r="D81" s="322"/>
      <c r="E81" s="321"/>
      <c r="F81" s="220">
        <f>F82+F98+F120+F132+F145+F154+F157+F160+F135</f>
        <v>369826</v>
      </c>
      <c r="G81" s="220">
        <f>G82+G98+G120+G132+G145+G154+G157+G160+G135</f>
        <v>366529.10000000003</v>
      </c>
    </row>
    <row r="82" spans="1:7" ht="15.75">
      <c r="A82" s="334" t="s">
        <v>249</v>
      </c>
      <c r="B82" s="323" t="s">
        <v>292</v>
      </c>
      <c r="C82" s="324"/>
      <c r="D82" s="324"/>
      <c r="E82" s="323"/>
      <c r="F82" s="221">
        <f>F83+F85+F91+F89+F93+F96+F87</f>
        <v>97455.5</v>
      </c>
      <c r="G82" s="221">
        <f>G83+G85+G91+G89+G93+G96+G87</f>
        <v>97455.5</v>
      </c>
    </row>
    <row r="83" spans="1:7" ht="15.75">
      <c r="A83" s="334" t="s">
        <v>64</v>
      </c>
      <c r="B83" s="323" t="s">
        <v>743</v>
      </c>
      <c r="C83" s="324"/>
      <c r="D83" s="324"/>
      <c r="E83" s="323"/>
      <c r="F83" s="221">
        <f>F84</f>
        <v>15</v>
      </c>
      <c r="G83" s="221">
        <f>G84</f>
        <v>15</v>
      </c>
    </row>
    <row r="84" spans="1:7" ht="31.5">
      <c r="A84" s="334" t="s">
        <v>277</v>
      </c>
      <c r="B84" s="323" t="s">
        <v>743</v>
      </c>
      <c r="C84" s="324" t="s">
        <v>706</v>
      </c>
      <c r="D84" s="324" t="s">
        <v>94</v>
      </c>
      <c r="E84" s="323">
        <v>240</v>
      </c>
      <c r="F84" s="221">
        <f>'приложение 4'!Q752</f>
        <v>15</v>
      </c>
      <c r="G84" s="221">
        <f>'приложение 4'!R752</f>
        <v>15</v>
      </c>
    </row>
    <row r="85" spans="1:7" ht="15.75">
      <c r="A85" s="334" t="s">
        <v>57</v>
      </c>
      <c r="B85" s="323" t="s">
        <v>744</v>
      </c>
      <c r="C85" s="324"/>
      <c r="D85" s="324"/>
      <c r="E85" s="323"/>
      <c r="F85" s="221">
        <f>F86</f>
        <v>17716.9</v>
      </c>
      <c r="G85" s="221">
        <f>G86</f>
        <v>17716.9</v>
      </c>
    </row>
    <row r="86" spans="1:7" ht="15.75">
      <c r="A86" s="334" t="s">
        <v>279</v>
      </c>
      <c r="B86" s="323" t="s">
        <v>744</v>
      </c>
      <c r="C86" s="324" t="s">
        <v>706</v>
      </c>
      <c r="D86" s="324" t="s">
        <v>93</v>
      </c>
      <c r="E86" s="323">
        <v>610</v>
      </c>
      <c r="F86" s="221">
        <f>'приложение 4'!Q672</f>
        <v>17716.9</v>
      </c>
      <c r="G86" s="221">
        <f>'приложение 4'!R672</f>
        <v>17716.9</v>
      </c>
    </row>
    <row r="87" spans="1:7" ht="15.75">
      <c r="A87" s="339" t="str">
        <f>A101</f>
        <v>Школы - детские сады, школы начальные, неполные средние и средние</v>
      </c>
      <c r="B87" s="323" t="s">
        <v>745</v>
      </c>
      <c r="C87" s="324"/>
      <c r="D87" s="324"/>
      <c r="E87" s="323"/>
      <c r="F87" s="221">
        <f>F88</f>
        <v>108.8</v>
      </c>
      <c r="G87" s="221">
        <f>G88</f>
        <v>108.8</v>
      </c>
    </row>
    <row r="88" spans="1:7" ht="15.75">
      <c r="A88" s="339" t="str">
        <f>A90</f>
        <v>Субсидии бюджетным учреждениям</v>
      </c>
      <c r="B88" s="323" t="s">
        <v>745</v>
      </c>
      <c r="C88" s="324" t="s">
        <v>706</v>
      </c>
      <c r="D88" s="324" t="s">
        <v>93</v>
      </c>
      <c r="E88" s="323">
        <v>610</v>
      </c>
      <c r="F88" s="221">
        <f>'приложение 4'!Q674</f>
        <v>108.8</v>
      </c>
      <c r="G88" s="221">
        <f>'приложение 4'!R674</f>
        <v>108.8</v>
      </c>
    </row>
    <row r="89" spans="1:7" ht="31.5">
      <c r="A89" s="300" t="s">
        <v>353</v>
      </c>
      <c r="B89" s="323" t="s">
        <v>746</v>
      </c>
      <c r="C89" s="324"/>
      <c r="D89" s="324"/>
      <c r="E89" s="323"/>
      <c r="F89" s="221">
        <f>F90</f>
        <v>6000</v>
      </c>
      <c r="G89" s="221">
        <f>G90</f>
        <v>6000</v>
      </c>
    </row>
    <row r="90" spans="1:7" s="195" customFormat="1" ht="15.75">
      <c r="A90" s="296" t="s">
        <v>279</v>
      </c>
      <c r="B90" s="323" t="s">
        <v>746</v>
      </c>
      <c r="C90" s="324" t="s">
        <v>706</v>
      </c>
      <c r="D90" s="324" t="s">
        <v>93</v>
      </c>
      <c r="E90" s="323">
        <v>610</v>
      </c>
      <c r="F90" s="221">
        <f>'приложение 4'!Q676</f>
        <v>6000</v>
      </c>
      <c r="G90" s="221">
        <f>'приложение 4'!R676</f>
        <v>6000</v>
      </c>
    </row>
    <row r="91" spans="1:7" s="190" customFormat="1" ht="47.25">
      <c r="A91" s="334" t="s">
        <v>59</v>
      </c>
      <c r="B91" s="323" t="s">
        <v>747</v>
      </c>
      <c r="C91" s="324"/>
      <c r="D91" s="324"/>
      <c r="E91" s="323"/>
      <c r="F91" s="221">
        <f>F92</f>
        <v>73259.1</v>
      </c>
      <c r="G91" s="221">
        <f>G92</f>
        <v>73259.1</v>
      </c>
    </row>
    <row r="92" spans="1:7" s="190" customFormat="1" ht="15.75">
      <c r="A92" s="334" t="s">
        <v>279</v>
      </c>
      <c r="B92" s="323" t="s">
        <v>747</v>
      </c>
      <c r="C92" s="324" t="s">
        <v>706</v>
      </c>
      <c r="D92" s="324" t="s">
        <v>93</v>
      </c>
      <c r="E92" s="323">
        <v>610</v>
      </c>
      <c r="F92" s="221">
        <f>'приложение 4'!Q678</f>
        <v>73259.1</v>
      </c>
      <c r="G92" s="221">
        <f>'приложение 4'!R678</f>
        <v>73259.1</v>
      </c>
    </row>
    <row r="93" spans="1:7" s="190" customFormat="1" ht="47.25" hidden="1">
      <c r="A93" s="334" t="s">
        <v>56</v>
      </c>
      <c r="B93" s="323" t="s">
        <v>748</v>
      </c>
      <c r="C93" s="324"/>
      <c r="D93" s="324"/>
      <c r="E93" s="323"/>
      <c r="F93" s="344">
        <f>SUM(F94:F95)</f>
        <v>0</v>
      </c>
      <c r="G93" s="221">
        <f>SUM(G94:G95)</f>
        <v>0</v>
      </c>
    </row>
    <row r="94" spans="1:7" s="190" customFormat="1" ht="31.5" hidden="1">
      <c r="A94" s="334" t="s">
        <v>277</v>
      </c>
      <c r="B94" s="323" t="s">
        <v>748</v>
      </c>
      <c r="C94" s="324" t="s">
        <v>706</v>
      </c>
      <c r="D94" s="324" t="s">
        <v>95</v>
      </c>
      <c r="E94" s="323">
        <v>240</v>
      </c>
      <c r="F94" s="344">
        <f>'приложение 4'!Q805</f>
        <v>0</v>
      </c>
      <c r="G94" s="221">
        <f>'приложение 4'!R805</f>
        <v>0</v>
      </c>
    </row>
    <row r="95" spans="1:7" s="190" customFormat="1" ht="31.5" hidden="1">
      <c r="A95" s="334" t="s">
        <v>282</v>
      </c>
      <c r="B95" s="323" t="s">
        <v>748</v>
      </c>
      <c r="C95" s="324" t="s">
        <v>706</v>
      </c>
      <c r="D95" s="324" t="s">
        <v>95</v>
      </c>
      <c r="E95" s="323">
        <v>320</v>
      </c>
      <c r="F95" s="344">
        <f>'приложение 4'!Q806</f>
        <v>0</v>
      </c>
      <c r="G95" s="221">
        <f>'приложение 4'!R806</f>
        <v>0</v>
      </c>
    </row>
    <row r="96" spans="1:7" s="190" customFormat="1" ht="15.75">
      <c r="A96" s="334" t="s">
        <v>482</v>
      </c>
      <c r="B96" s="323" t="s">
        <v>749</v>
      </c>
      <c r="C96" s="324"/>
      <c r="D96" s="324"/>
      <c r="E96" s="323"/>
      <c r="F96" s="221">
        <f>F97</f>
        <v>355.7</v>
      </c>
      <c r="G96" s="221">
        <f>G97</f>
        <v>355.7</v>
      </c>
    </row>
    <row r="97" spans="1:7" s="190" customFormat="1" ht="15.75">
      <c r="A97" s="334" t="s">
        <v>279</v>
      </c>
      <c r="B97" s="323" t="s">
        <v>749</v>
      </c>
      <c r="C97" s="324" t="s">
        <v>706</v>
      </c>
      <c r="D97" s="324" t="s">
        <v>94</v>
      </c>
      <c r="E97" s="323">
        <v>610</v>
      </c>
      <c r="F97" s="221">
        <f>'приложение 4'!Q754</f>
        <v>355.7</v>
      </c>
      <c r="G97" s="221">
        <f>'приложение 4'!R754</f>
        <v>355.7</v>
      </c>
    </row>
    <row r="98" spans="1:7" s="190" customFormat="1" ht="15.75">
      <c r="A98" s="334" t="s">
        <v>250</v>
      </c>
      <c r="B98" s="323" t="s">
        <v>750</v>
      </c>
      <c r="C98" s="324"/>
      <c r="D98" s="324"/>
      <c r="E98" s="323"/>
      <c r="F98" s="221">
        <f>F99+F101+F103+F105+F110+F114+F118+F107+F116</f>
        <v>215364.7</v>
      </c>
      <c r="G98" s="221">
        <f>G99+G101+G103+G105+G110+G114+G118+G107+G116</f>
        <v>215285.9</v>
      </c>
    </row>
    <row r="99" spans="1:7" s="190" customFormat="1" ht="15.75">
      <c r="A99" s="334" t="s">
        <v>64</v>
      </c>
      <c r="B99" s="323" t="s">
        <v>751</v>
      </c>
      <c r="C99" s="324"/>
      <c r="D99" s="324"/>
      <c r="E99" s="323"/>
      <c r="F99" s="221">
        <f>F100</f>
        <v>45.600000000000016</v>
      </c>
      <c r="G99" s="221">
        <f>G100</f>
        <v>21</v>
      </c>
    </row>
    <row r="100" spans="1:7" s="190" customFormat="1" ht="31.5">
      <c r="A100" s="334" t="s">
        <v>277</v>
      </c>
      <c r="B100" s="323" t="s">
        <v>751</v>
      </c>
      <c r="C100" s="324" t="s">
        <v>706</v>
      </c>
      <c r="D100" s="324" t="s">
        <v>94</v>
      </c>
      <c r="E100" s="323">
        <v>240</v>
      </c>
      <c r="F100" s="221">
        <f>'приложение 4'!Q757</f>
        <v>45.600000000000016</v>
      </c>
      <c r="G100" s="221">
        <f>'приложение 4'!R757</f>
        <v>21</v>
      </c>
    </row>
    <row r="101" spans="1:7" s="190" customFormat="1" ht="15.75">
      <c r="A101" s="334" t="s">
        <v>60</v>
      </c>
      <c r="B101" s="323" t="s">
        <v>752</v>
      </c>
      <c r="C101" s="324"/>
      <c r="D101" s="324"/>
      <c r="E101" s="323"/>
      <c r="F101" s="221">
        <f>SUM(F102:F102)</f>
        <v>46217.2</v>
      </c>
      <c r="G101" s="221">
        <f>SUM(G102:G102)</f>
        <v>46217.2</v>
      </c>
    </row>
    <row r="102" spans="1:7" s="190" customFormat="1" ht="15.75">
      <c r="A102" s="334" t="s">
        <v>279</v>
      </c>
      <c r="B102" s="323" t="s">
        <v>752</v>
      </c>
      <c r="C102" s="324" t="s">
        <v>706</v>
      </c>
      <c r="D102" s="324" t="s">
        <v>96</v>
      </c>
      <c r="E102" s="323">
        <v>610</v>
      </c>
      <c r="F102" s="221">
        <f>'приложение 4'!Q698</f>
        <v>46217.2</v>
      </c>
      <c r="G102" s="221">
        <f>'приложение 4'!R698</f>
        <v>46217.2</v>
      </c>
    </row>
    <row r="103" spans="1:7" s="190" customFormat="1" ht="110.25">
      <c r="A103" s="335" t="s">
        <v>438</v>
      </c>
      <c r="B103" s="323" t="s">
        <v>753</v>
      </c>
      <c r="C103" s="324"/>
      <c r="D103" s="324"/>
      <c r="E103" s="323"/>
      <c r="F103" s="221">
        <f>F104</f>
        <v>8403.099999999999</v>
      </c>
      <c r="G103" s="221">
        <f>G104</f>
        <v>8403.1</v>
      </c>
    </row>
    <row r="104" spans="1:7" s="190" customFormat="1" ht="15.75">
      <c r="A104" s="335" t="s">
        <v>279</v>
      </c>
      <c r="B104" s="323" t="s">
        <v>753</v>
      </c>
      <c r="C104" s="324" t="s">
        <v>706</v>
      </c>
      <c r="D104" s="324" t="s">
        <v>96</v>
      </c>
      <c r="E104" s="323">
        <v>610</v>
      </c>
      <c r="F104" s="221">
        <f>'приложение 4'!Q700</f>
        <v>8403.099999999999</v>
      </c>
      <c r="G104" s="221">
        <f>'приложение 4'!R700</f>
        <v>8403.1</v>
      </c>
    </row>
    <row r="105" spans="1:7" ht="31.5">
      <c r="A105" s="335" t="s">
        <v>353</v>
      </c>
      <c r="B105" s="323" t="s">
        <v>754</v>
      </c>
      <c r="C105" s="324"/>
      <c r="D105" s="324"/>
      <c r="E105" s="323"/>
      <c r="F105" s="221">
        <f>F106</f>
        <v>15900</v>
      </c>
      <c r="G105" s="221">
        <f>G106</f>
        <v>15900</v>
      </c>
    </row>
    <row r="106" spans="1:7" ht="15.75">
      <c r="A106" s="335" t="s">
        <v>279</v>
      </c>
      <c r="B106" s="323" t="s">
        <v>754</v>
      </c>
      <c r="C106" s="324" t="s">
        <v>706</v>
      </c>
      <c r="D106" s="324" t="s">
        <v>96</v>
      </c>
      <c r="E106" s="323">
        <v>610</v>
      </c>
      <c r="F106" s="221">
        <f>'приложение 4'!Q702</f>
        <v>15900</v>
      </c>
      <c r="G106" s="221">
        <f>'приложение 4'!R702</f>
        <v>15900</v>
      </c>
    </row>
    <row r="107" spans="1:7" ht="47.25">
      <c r="A107" s="334" t="s">
        <v>59</v>
      </c>
      <c r="B107" s="323" t="s">
        <v>755</v>
      </c>
      <c r="C107" s="324"/>
      <c r="D107" s="324"/>
      <c r="E107" s="323"/>
      <c r="F107" s="221">
        <f>F108+F109</f>
        <v>126685.90000000001</v>
      </c>
      <c r="G107" s="221">
        <f>G108+G109</f>
        <v>126685.9</v>
      </c>
    </row>
    <row r="108" spans="1:7" ht="15.75">
      <c r="A108" s="334" t="s">
        <v>279</v>
      </c>
      <c r="B108" s="323" t="s">
        <v>755</v>
      </c>
      <c r="C108" s="324" t="s">
        <v>706</v>
      </c>
      <c r="D108" s="324" t="s">
        <v>96</v>
      </c>
      <c r="E108" s="323">
        <v>610</v>
      </c>
      <c r="F108" s="221">
        <f>'приложение 4'!Q704</f>
        <v>126685.90000000001</v>
      </c>
      <c r="G108" s="221">
        <f>'приложение 4'!R704</f>
        <v>126685.9</v>
      </c>
    </row>
    <row r="109" spans="1:7" ht="31.5" hidden="1">
      <c r="A109" s="334" t="s">
        <v>277</v>
      </c>
      <c r="B109" s="323" t="s">
        <v>755</v>
      </c>
      <c r="C109" s="324" t="s">
        <v>706</v>
      </c>
      <c r="D109" s="324" t="s">
        <v>94</v>
      </c>
      <c r="E109" s="323">
        <v>240</v>
      </c>
      <c r="F109" s="344">
        <f>'приложение 4'!Q759</f>
        <v>1.8188228700921627E-13</v>
      </c>
      <c r="G109" s="221">
        <f>'приложение 4'!R759</f>
        <v>0</v>
      </c>
    </row>
    <row r="110" spans="1:7" ht="47.25">
      <c r="A110" s="334" t="s">
        <v>56</v>
      </c>
      <c r="B110" s="323" t="s">
        <v>756</v>
      </c>
      <c r="C110" s="324"/>
      <c r="D110" s="324"/>
      <c r="E110" s="323"/>
      <c r="F110" s="221">
        <f>SUM(F111:F113)</f>
        <v>7047.2</v>
      </c>
      <c r="G110" s="221">
        <f>SUM(G111:G113)</f>
        <v>7005.4</v>
      </c>
    </row>
    <row r="111" spans="1:7" ht="31.5">
      <c r="A111" s="334" t="s">
        <v>277</v>
      </c>
      <c r="B111" s="323" t="s">
        <v>756</v>
      </c>
      <c r="C111" s="324" t="s">
        <v>706</v>
      </c>
      <c r="D111" s="324" t="s">
        <v>94</v>
      </c>
      <c r="E111" s="323">
        <v>240</v>
      </c>
      <c r="F111" s="221">
        <f>'приложение 4'!Q761</f>
        <v>30.4</v>
      </c>
      <c r="G111" s="221">
        <f>'приложение 4'!R761</f>
        <v>27.5</v>
      </c>
    </row>
    <row r="112" spans="1:7" ht="31.5">
      <c r="A112" s="334" t="s">
        <v>282</v>
      </c>
      <c r="B112" s="323" t="s">
        <v>756</v>
      </c>
      <c r="C112" s="324" t="s">
        <v>706</v>
      </c>
      <c r="D112" s="324" t="s">
        <v>94</v>
      </c>
      <c r="E112" s="323">
        <v>320</v>
      </c>
      <c r="F112" s="221">
        <f>'приложение 4'!Q762</f>
        <v>2171.6</v>
      </c>
      <c r="G112" s="221">
        <f>'приложение 4'!R762</f>
        <v>2132.7</v>
      </c>
    </row>
    <row r="113" spans="1:7" ht="15.75">
      <c r="A113" s="334" t="s">
        <v>279</v>
      </c>
      <c r="B113" s="323" t="s">
        <v>756</v>
      </c>
      <c r="C113" s="324" t="s">
        <v>706</v>
      </c>
      <c r="D113" s="324" t="s">
        <v>94</v>
      </c>
      <c r="E113" s="323">
        <v>610</v>
      </c>
      <c r="F113" s="221">
        <f>'приложение 4'!Q763</f>
        <v>4845.2</v>
      </c>
      <c r="G113" s="221">
        <f>'приложение 4'!R763</f>
        <v>4845.2</v>
      </c>
    </row>
    <row r="114" spans="1:7" ht="31.5">
      <c r="A114" s="335" t="s">
        <v>439</v>
      </c>
      <c r="B114" s="323" t="s">
        <v>757</v>
      </c>
      <c r="C114" s="324"/>
      <c r="D114" s="324"/>
      <c r="E114" s="323"/>
      <c r="F114" s="221">
        <f>F115</f>
        <v>9261.8</v>
      </c>
      <c r="G114" s="221">
        <f>G115</f>
        <v>9261.8</v>
      </c>
    </row>
    <row r="115" spans="1:7" ht="15.75">
      <c r="A115" s="334" t="s">
        <v>279</v>
      </c>
      <c r="B115" s="323" t="s">
        <v>757</v>
      </c>
      <c r="C115" s="324" t="s">
        <v>706</v>
      </c>
      <c r="D115" s="324" t="s">
        <v>96</v>
      </c>
      <c r="E115" s="323">
        <v>610</v>
      </c>
      <c r="F115" s="221">
        <f>'приложение 4'!Q706</f>
        <v>9261.8</v>
      </c>
      <c r="G115" s="221">
        <f>'приложение 4'!R706</f>
        <v>9261.8</v>
      </c>
    </row>
    <row r="116" spans="1:7" ht="31.5">
      <c r="A116" s="301" t="s">
        <v>465</v>
      </c>
      <c r="B116" s="326" t="s">
        <v>758</v>
      </c>
      <c r="C116" s="324"/>
      <c r="D116" s="324"/>
      <c r="E116" s="323"/>
      <c r="F116" s="221">
        <f>F117</f>
        <v>364.30000000000007</v>
      </c>
      <c r="G116" s="221">
        <f>G117</f>
        <v>351.9</v>
      </c>
    </row>
    <row r="117" spans="1:7" ht="31.5">
      <c r="A117" s="334" t="s">
        <v>277</v>
      </c>
      <c r="B117" s="326" t="s">
        <v>758</v>
      </c>
      <c r="C117" s="324" t="s">
        <v>706</v>
      </c>
      <c r="D117" s="324" t="s">
        <v>94</v>
      </c>
      <c r="E117" s="323">
        <v>240</v>
      </c>
      <c r="F117" s="221">
        <f>'приложение 4'!Q765</f>
        <v>364.30000000000007</v>
      </c>
      <c r="G117" s="221">
        <f>'приложение 4'!R765</f>
        <v>351.9</v>
      </c>
    </row>
    <row r="118" spans="1:7" ht="15.75">
      <c r="A118" s="302" t="s">
        <v>482</v>
      </c>
      <c r="B118" s="325" t="s">
        <v>759</v>
      </c>
      <c r="C118" s="324"/>
      <c r="D118" s="324"/>
      <c r="E118" s="323"/>
      <c r="F118" s="221">
        <f>F119</f>
        <v>1439.6</v>
      </c>
      <c r="G118" s="221">
        <f>G119</f>
        <v>1439.6</v>
      </c>
    </row>
    <row r="119" spans="1:7" ht="15.75">
      <c r="A119" s="335" t="s">
        <v>279</v>
      </c>
      <c r="B119" s="325" t="s">
        <v>759</v>
      </c>
      <c r="C119" s="324" t="s">
        <v>706</v>
      </c>
      <c r="D119" s="324" t="s">
        <v>94</v>
      </c>
      <c r="E119" s="323">
        <v>610</v>
      </c>
      <c r="F119" s="221">
        <f>'приложение 4'!Q767</f>
        <v>1439.6</v>
      </c>
      <c r="G119" s="221">
        <f>'приложение 4'!R767</f>
        <v>1439.6</v>
      </c>
    </row>
    <row r="120" spans="1:7" ht="31.5">
      <c r="A120" s="334" t="s">
        <v>311</v>
      </c>
      <c r="B120" s="323" t="s">
        <v>288</v>
      </c>
      <c r="C120" s="324"/>
      <c r="D120" s="324"/>
      <c r="E120" s="323"/>
      <c r="F120" s="221">
        <f>F121+F128+F130+F126+F124</f>
        <v>9872.6</v>
      </c>
      <c r="G120" s="221">
        <f>G121+G128+G130+G126+G124</f>
        <v>9854.2</v>
      </c>
    </row>
    <row r="121" spans="1:7" ht="15.75">
      <c r="A121" s="334" t="s">
        <v>64</v>
      </c>
      <c r="B121" s="323" t="s">
        <v>760</v>
      </c>
      <c r="C121" s="324"/>
      <c r="D121" s="324"/>
      <c r="E121" s="323"/>
      <c r="F121" s="221">
        <f>F123+F122</f>
        <v>1382.6000000000001</v>
      </c>
      <c r="G121" s="221">
        <f>G123+G122</f>
        <v>1382.6000000000001</v>
      </c>
    </row>
    <row r="122" spans="1:7" ht="31.5">
      <c r="A122" s="334" t="s">
        <v>277</v>
      </c>
      <c r="B122" s="323" t="s">
        <v>760</v>
      </c>
      <c r="C122" s="324" t="s">
        <v>706</v>
      </c>
      <c r="D122" s="324" t="s">
        <v>94</v>
      </c>
      <c r="E122" s="323">
        <v>240</v>
      </c>
      <c r="F122" s="221">
        <f>'приложение 4'!Q770</f>
        <v>87.90000000000002</v>
      </c>
      <c r="G122" s="221">
        <f>'приложение 4'!R770</f>
        <v>87.9</v>
      </c>
    </row>
    <row r="123" spans="1:7" ht="47.25">
      <c r="A123" s="334" t="s">
        <v>434</v>
      </c>
      <c r="B123" s="323" t="s">
        <v>760</v>
      </c>
      <c r="C123" s="324" t="s">
        <v>706</v>
      </c>
      <c r="D123" s="324" t="s">
        <v>94</v>
      </c>
      <c r="E123" s="323">
        <v>630</v>
      </c>
      <c r="F123" s="221">
        <f>'приложение 4'!Q771</f>
        <v>1294.7</v>
      </c>
      <c r="G123" s="221">
        <f>'приложение 4'!R771</f>
        <v>1294.7</v>
      </c>
    </row>
    <row r="124" spans="1:7" ht="15.75">
      <c r="A124" s="294" t="s">
        <v>57</v>
      </c>
      <c r="B124" s="323" t="s">
        <v>761</v>
      </c>
      <c r="C124" s="324"/>
      <c r="D124" s="324"/>
      <c r="E124" s="323"/>
      <c r="F124" s="221">
        <f>F125</f>
        <v>18.4</v>
      </c>
      <c r="G124" s="221">
        <f>G125</f>
        <v>0</v>
      </c>
    </row>
    <row r="125" spans="1:7" ht="15.75">
      <c r="A125" s="301" t="s">
        <v>279</v>
      </c>
      <c r="B125" s="323" t="s">
        <v>761</v>
      </c>
      <c r="C125" s="324" t="s">
        <v>706</v>
      </c>
      <c r="D125" s="324" t="s">
        <v>97</v>
      </c>
      <c r="E125" s="323">
        <v>610</v>
      </c>
      <c r="F125" s="221">
        <f>'приложение 4'!Q726</f>
        <v>18.4</v>
      </c>
      <c r="G125" s="221">
        <f>'приложение 4'!R726</f>
        <v>0</v>
      </c>
    </row>
    <row r="126" spans="1:7" ht="15.75">
      <c r="A126" s="294" t="s">
        <v>60</v>
      </c>
      <c r="B126" s="323" t="s">
        <v>762</v>
      </c>
      <c r="C126" s="324"/>
      <c r="D126" s="324"/>
      <c r="E126" s="323"/>
      <c r="F126" s="221">
        <f>F127</f>
        <v>153.5</v>
      </c>
      <c r="G126" s="221">
        <f>G127</f>
        <v>153.5</v>
      </c>
    </row>
    <row r="127" spans="1:7" ht="15.75">
      <c r="A127" s="301" t="s">
        <v>279</v>
      </c>
      <c r="B127" s="323" t="s">
        <v>762</v>
      </c>
      <c r="C127" s="324" t="s">
        <v>706</v>
      </c>
      <c r="D127" s="324" t="s">
        <v>96</v>
      </c>
      <c r="E127" s="323">
        <v>610</v>
      </c>
      <c r="F127" s="221">
        <f>'приложение 4'!Q709</f>
        <v>153.5</v>
      </c>
      <c r="G127" s="221">
        <f>'приложение 4'!R709</f>
        <v>153.5</v>
      </c>
    </row>
    <row r="128" spans="1:7" ht="15.75">
      <c r="A128" s="334" t="s">
        <v>61</v>
      </c>
      <c r="B128" s="323" t="s">
        <v>763</v>
      </c>
      <c r="C128" s="324"/>
      <c r="D128" s="324"/>
      <c r="E128" s="323"/>
      <c r="F128" s="221">
        <f>F129</f>
        <v>4393.5</v>
      </c>
      <c r="G128" s="221">
        <f>G129</f>
        <v>4393.5</v>
      </c>
    </row>
    <row r="129" spans="1:7" ht="15.75">
      <c r="A129" s="334" t="s">
        <v>279</v>
      </c>
      <c r="B129" s="323" t="s">
        <v>763</v>
      </c>
      <c r="C129" s="324" t="s">
        <v>706</v>
      </c>
      <c r="D129" s="324" t="s">
        <v>97</v>
      </c>
      <c r="E129" s="323">
        <v>610</v>
      </c>
      <c r="F129" s="221">
        <f>'приложение 4'!Q728</f>
        <v>4393.5</v>
      </c>
      <c r="G129" s="221">
        <f>'приложение 4'!R728</f>
        <v>4393.5</v>
      </c>
    </row>
    <row r="130" spans="1:7" ht="31.5">
      <c r="A130" s="294" t="s">
        <v>353</v>
      </c>
      <c r="B130" s="323" t="s">
        <v>764</v>
      </c>
      <c r="C130" s="324"/>
      <c r="D130" s="324"/>
      <c r="E130" s="323"/>
      <c r="F130" s="221">
        <f>F131</f>
        <v>3924.6000000000004</v>
      </c>
      <c r="G130" s="221">
        <f>G131</f>
        <v>3924.6</v>
      </c>
    </row>
    <row r="131" spans="1:7" ht="15.75">
      <c r="A131" s="294" t="s">
        <v>279</v>
      </c>
      <c r="B131" s="323" t="s">
        <v>764</v>
      </c>
      <c r="C131" s="324" t="s">
        <v>706</v>
      </c>
      <c r="D131" s="324" t="s">
        <v>97</v>
      </c>
      <c r="E131" s="323">
        <v>610</v>
      </c>
      <c r="F131" s="221">
        <f>'приложение 4'!Q730</f>
        <v>3924.6000000000004</v>
      </c>
      <c r="G131" s="221">
        <f>'приложение 4'!R730</f>
        <v>3924.6</v>
      </c>
    </row>
    <row r="132" spans="1:7" ht="15.75">
      <c r="A132" s="334" t="s">
        <v>683</v>
      </c>
      <c r="B132" s="323" t="s">
        <v>289</v>
      </c>
      <c r="C132" s="324"/>
      <c r="D132" s="324"/>
      <c r="E132" s="323"/>
      <c r="F132" s="221">
        <f>F133</f>
        <v>55</v>
      </c>
      <c r="G132" s="221">
        <f>G133</f>
        <v>55</v>
      </c>
    </row>
    <row r="133" spans="1:7" ht="15.75">
      <c r="A133" s="334" t="s">
        <v>64</v>
      </c>
      <c r="B133" s="323" t="s">
        <v>765</v>
      </c>
      <c r="C133" s="324"/>
      <c r="D133" s="324"/>
      <c r="E133" s="323"/>
      <c r="F133" s="221">
        <f>F134</f>
        <v>55</v>
      </c>
      <c r="G133" s="221">
        <f>G134</f>
        <v>55</v>
      </c>
    </row>
    <row r="134" spans="1:7" ht="31.5">
      <c r="A134" s="334" t="s">
        <v>277</v>
      </c>
      <c r="B134" s="323" t="s">
        <v>765</v>
      </c>
      <c r="C134" s="324" t="s">
        <v>706</v>
      </c>
      <c r="D134" s="324" t="s">
        <v>94</v>
      </c>
      <c r="E134" s="323">
        <v>240</v>
      </c>
      <c r="F134" s="221">
        <f>'приложение 4'!Q774</f>
        <v>55</v>
      </c>
      <c r="G134" s="221">
        <f>'приложение 4'!R774</f>
        <v>55</v>
      </c>
    </row>
    <row r="135" spans="1:7" ht="31.5">
      <c r="A135" s="301" t="s">
        <v>312</v>
      </c>
      <c r="B135" s="323" t="s">
        <v>297</v>
      </c>
      <c r="C135" s="324"/>
      <c r="D135" s="324"/>
      <c r="E135" s="323"/>
      <c r="F135" s="221">
        <f>F136+F138+F140+F142</f>
        <v>37214</v>
      </c>
      <c r="G135" s="221">
        <f>G136+G138+G140+G142</f>
        <v>34020.7</v>
      </c>
    </row>
    <row r="136" spans="1:7" ht="15.75" hidden="1">
      <c r="A136" s="303" t="s">
        <v>64</v>
      </c>
      <c r="B136" s="323" t="s">
        <v>766</v>
      </c>
      <c r="C136" s="324"/>
      <c r="D136" s="324"/>
      <c r="E136" s="323"/>
      <c r="F136" s="344">
        <f>F137</f>
        <v>0</v>
      </c>
      <c r="G136" s="221">
        <f>G137</f>
        <v>0</v>
      </c>
    </row>
    <row r="137" spans="1:7" ht="31.5" hidden="1">
      <c r="A137" s="294" t="s">
        <v>277</v>
      </c>
      <c r="B137" s="323" t="s">
        <v>766</v>
      </c>
      <c r="C137" s="324" t="s">
        <v>706</v>
      </c>
      <c r="D137" s="324" t="s">
        <v>94</v>
      </c>
      <c r="E137" s="323">
        <v>240</v>
      </c>
      <c r="F137" s="344">
        <f>'приложение 4'!Q777</f>
        <v>0</v>
      </c>
      <c r="G137" s="221">
        <f>'приложение 4'!R777</f>
        <v>0</v>
      </c>
    </row>
    <row r="138" spans="1:7" ht="15.75">
      <c r="A138" s="301" t="s">
        <v>57</v>
      </c>
      <c r="B138" s="323" t="s">
        <v>767</v>
      </c>
      <c r="C138" s="324"/>
      <c r="D138" s="324"/>
      <c r="E138" s="323"/>
      <c r="F138" s="221">
        <f>F139</f>
        <v>1524.1999999999987</v>
      </c>
      <c r="G138" s="221">
        <f>G139</f>
        <v>899.5</v>
      </c>
    </row>
    <row r="139" spans="1:7" ht="15.75">
      <c r="A139" s="294" t="s">
        <v>279</v>
      </c>
      <c r="B139" s="323" t="s">
        <v>767</v>
      </c>
      <c r="C139" s="324" t="s">
        <v>706</v>
      </c>
      <c r="D139" s="324" t="s">
        <v>93</v>
      </c>
      <c r="E139" s="323">
        <v>610</v>
      </c>
      <c r="F139" s="221">
        <f>'приложение 4'!Q681</f>
        <v>1524.1999999999987</v>
      </c>
      <c r="G139" s="221">
        <f>'приложение 4'!R681</f>
        <v>899.5</v>
      </c>
    </row>
    <row r="140" spans="1:7" ht="15.75">
      <c r="A140" s="294" t="s">
        <v>60</v>
      </c>
      <c r="B140" s="323" t="s">
        <v>768</v>
      </c>
      <c r="C140" s="324"/>
      <c r="D140" s="324"/>
      <c r="E140" s="323"/>
      <c r="F140" s="221">
        <f>F141</f>
        <v>3385.3999999999987</v>
      </c>
      <c r="G140" s="221">
        <f>G141</f>
        <v>3385.4</v>
      </c>
    </row>
    <row r="141" spans="1:7" ht="15.75">
      <c r="A141" s="294" t="s">
        <v>279</v>
      </c>
      <c r="B141" s="323" t="s">
        <v>768</v>
      </c>
      <c r="C141" s="324" t="s">
        <v>706</v>
      </c>
      <c r="D141" s="324" t="s">
        <v>96</v>
      </c>
      <c r="E141" s="323">
        <v>610</v>
      </c>
      <c r="F141" s="221">
        <f>'приложение 4'!Q712</f>
        <v>3385.3999999999987</v>
      </c>
      <c r="G141" s="221">
        <f>'приложение 4'!R712</f>
        <v>3385.4</v>
      </c>
    </row>
    <row r="142" spans="1:7" ht="47.25">
      <c r="A142" s="301" t="s">
        <v>677</v>
      </c>
      <c r="B142" s="323" t="s">
        <v>769</v>
      </c>
      <c r="C142" s="324"/>
      <c r="D142" s="324"/>
      <c r="E142" s="323"/>
      <c r="F142" s="221">
        <f>F143+F144</f>
        <v>32304.400000000005</v>
      </c>
      <c r="G142" s="221">
        <f>G143+G144</f>
        <v>29735.8</v>
      </c>
    </row>
    <row r="143" spans="1:7" ht="15.75">
      <c r="A143" s="301" t="s">
        <v>279</v>
      </c>
      <c r="B143" s="323" t="s">
        <v>769</v>
      </c>
      <c r="C143" s="324" t="s">
        <v>706</v>
      </c>
      <c r="D143" s="324" t="s">
        <v>93</v>
      </c>
      <c r="E143" s="323">
        <v>610</v>
      </c>
      <c r="F143" s="221">
        <f>'приложение 4'!Q683</f>
        <v>12599.900000000001</v>
      </c>
      <c r="G143" s="221">
        <f>'приложение 4'!R683</f>
        <v>11672.2</v>
      </c>
    </row>
    <row r="144" spans="1:7" ht="15.75">
      <c r="A144" s="301" t="s">
        <v>279</v>
      </c>
      <c r="B144" s="323" t="s">
        <v>769</v>
      </c>
      <c r="C144" s="324" t="s">
        <v>706</v>
      </c>
      <c r="D144" s="324" t="s">
        <v>96</v>
      </c>
      <c r="E144" s="323">
        <v>610</v>
      </c>
      <c r="F144" s="221">
        <f>'приложение 4'!Q714</f>
        <v>19704.500000000004</v>
      </c>
      <c r="G144" s="221">
        <f>'приложение 4'!R714</f>
        <v>18063.6</v>
      </c>
    </row>
    <row r="145" spans="1:7" ht="31.5">
      <c r="A145" s="334" t="s">
        <v>343</v>
      </c>
      <c r="B145" s="323" t="s">
        <v>770</v>
      </c>
      <c r="C145" s="324"/>
      <c r="D145" s="324"/>
      <c r="E145" s="323"/>
      <c r="F145" s="221">
        <f>F146+F152+F150</f>
        <v>4730.200000000001</v>
      </c>
      <c r="G145" s="221">
        <f>G146+G152+G150</f>
        <v>4723.8</v>
      </c>
    </row>
    <row r="146" spans="1:7" ht="15.75">
      <c r="A146" s="334" t="s">
        <v>64</v>
      </c>
      <c r="B146" s="323" t="s">
        <v>771</v>
      </c>
      <c r="C146" s="324"/>
      <c r="D146" s="324"/>
      <c r="E146" s="323"/>
      <c r="F146" s="221">
        <f>F147+F148+F149</f>
        <v>3626.1</v>
      </c>
      <c r="G146" s="221">
        <f>G147+G148+G149</f>
        <v>3619.7</v>
      </c>
    </row>
    <row r="147" spans="1:7" ht="15.75">
      <c r="A147" s="334" t="s">
        <v>210</v>
      </c>
      <c r="B147" s="323" t="s">
        <v>771</v>
      </c>
      <c r="C147" s="324" t="s">
        <v>706</v>
      </c>
      <c r="D147" s="324" t="s">
        <v>94</v>
      </c>
      <c r="E147" s="323">
        <v>120</v>
      </c>
      <c r="F147" s="221">
        <f>'приложение 4'!Q780</f>
        <v>3170.1</v>
      </c>
      <c r="G147" s="221">
        <f>'приложение 4'!R780</f>
        <v>3169.9</v>
      </c>
    </row>
    <row r="148" spans="1:7" ht="31.5">
      <c r="A148" s="334" t="s">
        <v>277</v>
      </c>
      <c r="B148" s="323" t="s">
        <v>771</v>
      </c>
      <c r="C148" s="324" t="s">
        <v>706</v>
      </c>
      <c r="D148" s="324" t="s">
        <v>94</v>
      </c>
      <c r="E148" s="323">
        <v>240</v>
      </c>
      <c r="F148" s="221">
        <f>'приложение 4'!Q781</f>
        <v>454.9</v>
      </c>
      <c r="G148" s="221">
        <f>'приложение 4'!R781</f>
        <v>448.7</v>
      </c>
    </row>
    <row r="149" spans="1:7" ht="15.75">
      <c r="A149" s="294" t="s">
        <v>278</v>
      </c>
      <c r="B149" s="323" t="s">
        <v>771</v>
      </c>
      <c r="C149" s="324" t="s">
        <v>706</v>
      </c>
      <c r="D149" s="324" t="s">
        <v>94</v>
      </c>
      <c r="E149" s="323">
        <v>850</v>
      </c>
      <c r="F149" s="221">
        <f>'приложение 4'!Q782</f>
        <v>1.1</v>
      </c>
      <c r="G149" s="221">
        <f>'приложение 4'!R782</f>
        <v>1.1</v>
      </c>
    </row>
    <row r="150" spans="1:7" ht="47.25">
      <c r="A150" s="294" t="s">
        <v>458</v>
      </c>
      <c r="B150" s="323" t="s">
        <v>772</v>
      </c>
      <c r="C150" s="324"/>
      <c r="D150" s="324"/>
      <c r="E150" s="323"/>
      <c r="F150" s="221">
        <f>F151</f>
        <v>34.1</v>
      </c>
      <c r="G150" s="221">
        <f>G151</f>
        <v>34.1</v>
      </c>
    </row>
    <row r="151" spans="1:7" ht="15.75">
      <c r="A151" s="294" t="s">
        <v>210</v>
      </c>
      <c r="B151" s="323" t="s">
        <v>772</v>
      </c>
      <c r="C151" s="324" t="s">
        <v>706</v>
      </c>
      <c r="D151" s="324" t="s">
        <v>94</v>
      </c>
      <c r="E151" s="323">
        <v>120</v>
      </c>
      <c r="F151" s="221">
        <f>'приложение 4'!Q784</f>
        <v>34.1</v>
      </c>
      <c r="G151" s="221">
        <f>'приложение 4'!R784</f>
        <v>34.1</v>
      </c>
    </row>
    <row r="152" spans="1:7" ht="31.5">
      <c r="A152" s="337" t="s">
        <v>353</v>
      </c>
      <c r="B152" s="323" t="s">
        <v>773</v>
      </c>
      <c r="C152" s="324"/>
      <c r="D152" s="324"/>
      <c r="E152" s="323"/>
      <c r="F152" s="221">
        <f>F153</f>
        <v>1070</v>
      </c>
      <c r="G152" s="221">
        <f>G153</f>
        <v>1070</v>
      </c>
    </row>
    <row r="153" spans="1:7" ht="15.75">
      <c r="A153" s="336" t="s">
        <v>210</v>
      </c>
      <c r="B153" s="323" t="s">
        <v>773</v>
      </c>
      <c r="C153" s="324" t="s">
        <v>706</v>
      </c>
      <c r="D153" s="324" t="s">
        <v>94</v>
      </c>
      <c r="E153" s="323">
        <v>120</v>
      </c>
      <c r="F153" s="221">
        <f>'приложение 4'!Q786</f>
        <v>1070</v>
      </c>
      <c r="G153" s="221">
        <f>'приложение 4'!R786</f>
        <v>1070</v>
      </c>
    </row>
    <row r="154" spans="1:7" ht="15.75">
      <c r="A154" s="334" t="s">
        <v>684</v>
      </c>
      <c r="B154" s="323" t="s">
        <v>774</v>
      </c>
      <c r="C154" s="324"/>
      <c r="D154" s="324"/>
      <c r="E154" s="323"/>
      <c r="F154" s="221">
        <f>F155</f>
        <v>4381.6</v>
      </c>
      <c r="G154" s="221">
        <f>G155</f>
        <v>4381.6</v>
      </c>
    </row>
    <row r="155" spans="1:7" ht="63">
      <c r="A155" s="334" t="s">
        <v>686</v>
      </c>
      <c r="B155" s="323" t="s">
        <v>775</v>
      </c>
      <c r="C155" s="324"/>
      <c r="D155" s="324"/>
      <c r="E155" s="323"/>
      <c r="F155" s="221">
        <f>F156</f>
        <v>4381.6</v>
      </c>
      <c r="G155" s="221">
        <f>G156</f>
        <v>4381.6</v>
      </c>
    </row>
    <row r="156" spans="1:7" ht="31.5">
      <c r="A156" s="334" t="s">
        <v>277</v>
      </c>
      <c r="B156" s="323" t="s">
        <v>775</v>
      </c>
      <c r="C156" s="324" t="s">
        <v>706</v>
      </c>
      <c r="D156" s="324" t="s">
        <v>94</v>
      </c>
      <c r="E156" s="323">
        <v>240</v>
      </c>
      <c r="F156" s="221">
        <f>'приложение 4'!Q789</f>
        <v>4381.6</v>
      </c>
      <c r="G156" s="221">
        <f>'приложение 4'!R789</f>
        <v>4381.6</v>
      </c>
    </row>
    <row r="157" spans="1:7" ht="31.5" hidden="1">
      <c r="A157" s="334" t="s">
        <v>295</v>
      </c>
      <c r="B157" s="323" t="s">
        <v>776</v>
      </c>
      <c r="C157" s="324"/>
      <c r="D157" s="324"/>
      <c r="E157" s="323"/>
      <c r="F157" s="344">
        <f>F158</f>
        <v>0</v>
      </c>
      <c r="G157" s="221">
        <f>G158</f>
        <v>0</v>
      </c>
    </row>
    <row r="158" spans="1:7" ht="47.25" hidden="1">
      <c r="A158" s="334" t="s">
        <v>688</v>
      </c>
      <c r="B158" s="323" t="s">
        <v>777</v>
      </c>
      <c r="C158" s="324"/>
      <c r="D158" s="324"/>
      <c r="E158" s="323"/>
      <c r="F158" s="344">
        <f>F159</f>
        <v>0</v>
      </c>
      <c r="G158" s="221">
        <f>G159</f>
        <v>0</v>
      </c>
    </row>
    <row r="159" spans="1:7" ht="31.5" hidden="1">
      <c r="A159" s="334" t="s">
        <v>277</v>
      </c>
      <c r="B159" s="323" t="s">
        <v>777</v>
      </c>
      <c r="C159" s="324" t="s">
        <v>706</v>
      </c>
      <c r="D159" s="324" t="s">
        <v>94</v>
      </c>
      <c r="E159" s="323">
        <v>240</v>
      </c>
      <c r="F159" s="344">
        <f>'приложение 4'!Q792</f>
        <v>0</v>
      </c>
      <c r="G159" s="221">
        <f>'приложение 4'!R792</f>
        <v>0</v>
      </c>
    </row>
    <row r="160" spans="1:7" ht="31.5">
      <c r="A160" s="342" t="s">
        <v>479</v>
      </c>
      <c r="B160" s="323" t="s">
        <v>778</v>
      </c>
      <c r="C160" s="324"/>
      <c r="D160" s="324"/>
      <c r="E160" s="323"/>
      <c r="F160" s="221">
        <f>F161</f>
        <v>752.4</v>
      </c>
      <c r="G160" s="221">
        <f>G161</f>
        <v>752.4</v>
      </c>
    </row>
    <row r="161" spans="1:7" ht="31.5">
      <c r="A161" s="338" t="s">
        <v>680</v>
      </c>
      <c r="B161" s="323" t="s">
        <v>779</v>
      </c>
      <c r="C161" s="324"/>
      <c r="D161" s="324"/>
      <c r="E161" s="323"/>
      <c r="F161" s="221">
        <f>F162</f>
        <v>752.4</v>
      </c>
      <c r="G161" s="221">
        <f>G162</f>
        <v>752.4</v>
      </c>
    </row>
    <row r="162" spans="1:7" ht="15.75">
      <c r="A162" s="294" t="s">
        <v>279</v>
      </c>
      <c r="B162" s="323" t="s">
        <v>779</v>
      </c>
      <c r="C162" s="324" t="s">
        <v>706</v>
      </c>
      <c r="D162" s="324" t="s">
        <v>96</v>
      </c>
      <c r="E162" s="323">
        <v>610</v>
      </c>
      <c r="F162" s="221">
        <f>'приложение 4'!Q717</f>
        <v>752.4</v>
      </c>
      <c r="G162" s="221">
        <f>'приложение 4'!R717</f>
        <v>752.4</v>
      </c>
    </row>
    <row r="163" spans="1:7" ht="31.5">
      <c r="A163" s="295" t="s">
        <v>541</v>
      </c>
      <c r="B163" s="321" t="s">
        <v>780</v>
      </c>
      <c r="C163" s="322"/>
      <c r="D163" s="322"/>
      <c r="E163" s="321"/>
      <c r="F163" s="220">
        <f>F164+F176+F167+F170+F173+F181</f>
        <v>8136.9</v>
      </c>
      <c r="G163" s="220">
        <f>G164+G176+G167+G170+G173+G181</f>
        <v>8136.9</v>
      </c>
    </row>
    <row r="164" spans="1:7" ht="47.25">
      <c r="A164" s="304" t="s">
        <v>542</v>
      </c>
      <c r="B164" s="323" t="s">
        <v>781</v>
      </c>
      <c r="C164" s="324"/>
      <c r="D164" s="324"/>
      <c r="E164" s="323"/>
      <c r="F164" s="221">
        <f>F165</f>
        <v>35</v>
      </c>
      <c r="G164" s="221">
        <f>G165</f>
        <v>35</v>
      </c>
    </row>
    <row r="165" spans="1:7" ht="15.75">
      <c r="A165" s="304" t="s">
        <v>8</v>
      </c>
      <c r="B165" s="323" t="s">
        <v>782</v>
      </c>
      <c r="C165" s="324"/>
      <c r="D165" s="324"/>
      <c r="E165" s="323"/>
      <c r="F165" s="221">
        <f>F166</f>
        <v>35</v>
      </c>
      <c r="G165" s="221">
        <f>G166</f>
        <v>35</v>
      </c>
    </row>
    <row r="166" spans="1:7" ht="15.75">
      <c r="A166" s="304" t="s">
        <v>279</v>
      </c>
      <c r="B166" s="323" t="s">
        <v>782</v>
      </c>
      <c r="C166" s="324" t="s">
        <v>718</v>
      </c>
      <c r="D166" s="324" t="s">
        <v>98</v>
      </c>
      <c r="E166" s="323">
        <v>610</v>
      </c>
      <c r="F166" s="221">
        <f>'приложение 4'!Q196</f>
        <v>35</v>
      </c>
      <c r="G166" s="221">
        <f>'приложение 4'!R196</f>
        <v>35</v>
      </c>
    </row>
    <row r="167" spans="1:7" ht="15.75">
      <c r="A167" s="304" t="s">
        <v>398</v>
      </c>
      <c r="B167" s="323" t="s">
        <v>783</v>
      </c>
      <c r="C167" s="324"/>
      <c r="D167" s="324"/>
      <c r="E167" s="323"/>
      <c r="F167" s="221">
        <f>F168</f>
        <v>63.6</v>
      </c>
      <c r="G167" s="221">
        <f>G168</f>
        <v>63.6</v>
      </c>
    </row>
    <row r="168" spans="1:7" ht="15.75">
      <c r="A168" s="304" t="s">
        <v>8</v>
      </c>
      <c r="B168" s="323" t="s">
        <v>784</v>
      </c>
      <c r="C168" s="324"/>
      <c r="D168" s="324"/>
      <c r="E168" s="323"/>
      <c r="F168" s="221">
        <f>F169</f>
        <v>63.6</v>
      </c>
      <c r="G168" s="221">
        <f>G169</f>
        <v>63.6</v>
      </c>
    </row>
    <row r="169" spans="1:7" ht="15.75">
      <c r="A169" s="304" t="s">
        <v>279</v>
      </c>
      <c r="B169" s="323" t="s">
        <v>784</v>
      </c>
      <c r="C169" s="324" t="s">
        <v>718</v>
      </c>
      <c r="D169" s="324" t="s">
        <v>98</v>
      </c>
      <c r="E169" s="323">
        <v>610</v>
      </c>
      <c r="F169" s="221">
        <f>'приложение 4'!Q199</f>
        <v>63.6</v>
      </c>
      <c r="G169" s="221">
        <f>'приложение 4'!R199</f>
        <v>63.6</v>
      </c>
    </row>
    <row r="170" spans="1:7" s="194" customFormat="1" ht="31.5" hidden="1">
      <c r="A170" s="304" t="s">
        <v>440</v>
      </c>
      <c r="B170" s="323" t="s">
        <v>785</v>
      </c>
      <c r="C170" s="324"/>
      <c r="D170" s="324"/>
      <c r="E170" s="323"/>
      <c r="F170" s="344">
        <f>F171</f>
        <v>0</v>
      </c>
      <c r="G170" s="221">
        <f>G171</f>
        <v>0</v>
      </c>
    </row>
    <row r="171" spans="1:7" ht="15.75" hidden="1">
      <c r="A171" s="304" t="s">
        <v>8</v>
      </c>
      <c r="B171" s="323" t="s">
        <v>786</v>
      </c>
      <c r="C171" s="324"/>
      <c r="D171" s="324"/>
      <c r="E171" s="323"/>
      <c r="F171" s="344">
        <f>F172</f>
        <v>0</v>
      </c>
      <c r="G171" s="221">
        <f>G172</f>
        <v>0</v>
      </c>
    </row>
    <row r="172" spans="1:7" ht="15.75" hidden="1">
      <c r="A172" s="304" t="s">
        <v>279</v>
      </c>
      <c r="B172" s="323" t="s">
        <v>786</v>
      </c>
      <c r="C172" s="324" t="s">
        <v>718</v>
      </c>
      <c r="D172" s="324" t="s">
        <v>98</v>
      </c>
      <c r="E172" s="323">
        <v>610</v>
      </c>
      <c r="F172" s="344">
        <f>'приложение 4'!Q202</f>
        <v>0</v>
      </c>
      <c r="G172" s="221">
        <f>'приложение 4'!R202</f>
        <v>0</v>
      </c>
    </row>
    <row r="173" spans="1:7" ht="47.25">
      <c r="A173" s="304" t="s">
        <v>441</v>
      </c>
      <c r="B173" s="323" t="s">
        <v>787</v>
      </c>
      <c r="C173" s="324"/>
      <c r="D173" s="324"/>
      <c r="E173" s="323"/>
      <c r="F173" s="221">
        <f>F174</f>
        <v>21.700000000000003</v>
      </c>
      <c r="G173" s="221">
        <f>G174</f>
        <v>21.7</v>
      </c>
    </row>
    <row r="174" spans="1:7" ht="15.75">
      <c r="A174" s="304" t="s">
        <v>8</v>
      </c>
      <c r="B174" s="323" t="s">
        <v>788</v>
      </c>
      <c r="C174" s="324"/>
      <c r="D174" s="324"/>
      <c r="E174" s="323"/>
      <c r="F174" s="221">
        <f>F175</f>
        <v>21.700000000000003</v>
      </c>
      <c r="G174" s="221">
        <f>G175</f>
        <v>21.7</v>
      </c>
    </row>
    <row r="175" spans="1:7" ht="15.75">
      <c r="A175" s="304" t="s">
        <v>279</v>
      </c>
      <c r="B175" s="323" t="s">
        <v>788</v>
      </c>
      <c r="C175" s="324" t="s">
        <v>718</v>
      </c>
      <c r="D175" s="324" t="s">
        <v>98</v>
      </c>
      <c r="E175" s="323">
        <v>610</v>
      </c>
      <c r="F175" s="221">
        <f>'приложение 4'!Q205</f>
        <v>21.700000000000003</v>
      </c>
      <c r="G175" s="221">
        <f>'приложение 4'!R205</f>
        <v>21.7</v>
      </c>
    </row>
    <row r="176" spans="1:7" ht="15.75">
      <c r="A176" s="294" t="s">
        <v>251</v>
      </c>
      <c r="B176" s="323" t="s">
        <v>789</v>
      </c>
      <c r="C176" s="324"/>
      <c r="D176" s="324"/>
      <c r="E176" s="323"/>
      <c r="F176" s="221">
        <f>F177+F179</f>
        <v>7836.9</v>
      </c>
      <c r="G176" s="221">
        <f>G177+G179</f>
        <v>7836.9</v>
      </c>
    </row>
    <row r="177" spans="1:7" ht="15.75">
      <c r="A177" s="294" t="s">
        <v>8</v>
      </c>
      <c r="B177" s="323" t="s">
        <v>790</v>
      </c>
      <c r="C177" s="324"/>
      <c r="D177" s="324"/>
      <c r="E177" s="323"/>
      <c r="F177" s="221">
        <f>F178</f>
        <v>4095.2</v>
      </c>
      <c r="G177" s="221">
        <f>G178</f>
        <v>4095.2</v>
      </c>
    </row>
    <row r="178" spans="1:7" ht="15.75">
      <c r="A178" s="294" t="s">
        <v>279</v>
      </c>
      <c r="B178" s="323" t="s">
        <v>790</v>
      </c>
      <c r="C178" s="324" t="s">
        <v>718</v>
      </c>
      <c r="D178" s="324" t="s">
        <v>98</v>
      </c>
      <c r="E178" s="323">
        <v>610</v>
      </c>
      <c r="F178" s="221">
        <f>'приложение 4'!Q208</f>
        <v>4095.2</v>
      </c>
      <c r="G178" s="221">
        <f>'приложение 4'!R208</f>
        <v>4095.2</v>
      </c>
    </row>
    <row r="179" spans="1:7" ht="31.5">
      <c r="A179" s="294" t="s">
        <v>353</v>
      </c>
      <c r="B179" s="323" t="s">
        <v>791</v>
      </c>
      <c r="C179" s="324"/>
      <c r="D179" s="324"/>
      <c r="E179" s="323"/>
      <c r="F179" s="221">
        <f>F180</f>
        <v>3741.7</v>
      </c>
      <c r="G179" s="221">
        <f>G180</f>
        <v>3741.7</v>
      </c>
    </row>
    <row r="180" spans="1:7" ht="15.75">
      <c r="A180" s="294" t="s">
        <v>279</v>
      </c>
      <c r="B180" s="323" t="s">
        <v>791</v>
      </c>
      <c r="C180" s="324" t="s">
        <v>718</v>
      </c>
      <c r="D180" s="324" t="s">
        <v>98</v>
      </c>
      <c r="E180" s="323">
        <v>610</v>
      </c>
      <c r="F180" s="221">
        <f>'приложение 4'!Q210</f>
        <v>3741.7</v>
      </c>
      <c r="G180" s="221">
        <f>'приложение 4'!R210</f>
        <v>3741.7</v>
      </c>
    </row>
    <row r="181" spans="1:7" ht="31.5">
      <c r="A181" s="294" t="s">
        <v>26</v>
      </c>
      <c r="B181" s="323" t="s">
        <v>792</v>
      </c>
      <c r="C181" s="324"/>
      <c r="D181" s="324"/>
      <c r="E181" s="323"/>
      <c r="F181" s="221">
        <f>F182</f>
        <v>179.70000000000002</v>
      </c>
      <c r="G181" s="221">
        <f>G182</f>
        <v>179.7</v>
      </c>
    </row>
    <row r="182" spans="1:7" ht="15.75">
      <c r="A182" s="294" t="s">
        <v>8</v>
      </c>
      <c r="B182" s="323" t="s">
        <v>793</v>
      </c>
      <c r="C182" s="324"/>
      <c r="D182" s="324"/>
      <c r="E182" s="323"/>
      <c r="F182" s="221">
        <f>F183</f>
        <v>179.70000000000002</v>
      </c>
      <c r="G182" s="221">
        <f>G183</f>
        <v>179.7</v>
      </c>
    </row>
    <row r="183" spans="1:7" ht="15.75">
      <c r="A183" s="294" t="s">
        <v>279</v>
      </c>
      <c r="B183" s="323" t="s">
        <v>793</v>
      </c>
      <c r="C183" s="324" t="s">
        <v>718</v>
      </c>
      <c r="D183" s="324" t="s">
        <v>98</v>
      </c>
      <c r="E183" s="323">
        <v>610</v>
      </c>
      <c r="F183" s="221">
        <f>'приложение 4'!Q213</f>
        <v>179.70000000000002</v>
      </c>
      <c r="G183" s="221">
        <f>'приложение 4'!R213</f>
        <v>179.7</v>
      </c>
    </row>
    <row r="184" spans="1:7" ht="31.5">
      <c r="A184" s="305" t="s">
        <v>591</v>
      </c>
      <c r="B184" s="321" t="s">
        <v>794</v>
      </c>
      <c r="C184" s="322"/>
      <c r="D184" s="322"/>
      <c r="E184" s="321"/>
      <c r="F184" s="220">
        <f>F185+F188+F190</f>
        <v>9203.4</v>
      </c>
      <c r="G184" s="220">
        <f>G185+G188+G190</f>
        <v>792.4</v>
      </c>
    </row>
    <row r="185" spans="1:7" ht="31.5" hidden="1">
      <c r="A185" s="306" t="s">
        <v>45</v>
      </c>
      <c r="B185" s="323" t="s">
        <v>795</v>
      </c>
      <c r="C185" s="324"/>
      <c r="D185" s="324"/>
      <c r="E185" s="323"/>
      <c r="F185" s="344">
        <f>F186</f>
        <v>0</v>
      </c>
      <c r="G185" s="221">
        <f>G186</f>
        <v>0</v>
      </c>
    </row>
    <row r="186" spans="1:7" ht="31.5" hidden="1">
      <c r="A186" s="306" t="s">
        <v>592</v>
      </c>
      <c r="B186" s="323" t="s">
        <v>796</v>
      </c>
      <c r="C186" s="324"/>
      <c r="D186" s="324"/>
      <c r="E186" s="323"/>
      <c r="F186" s="344">
        <f>F187</f>
        <v>0</v>
      </c>
      <c r="G186" s="221">
        <f>G187</f>
        <v>0</v>
      </c>
    </row>
    <row r="187" spans="1:7" ht="31.5" hidden="1">
      <c r="A187" s="294" t="s">
        <v>277</v>
      </c>
      <c r="B187" s="323" t="s">
        <v>796</v>
      </c>
      <c r="C187" s="324" t="s">
        <v>718</v>
      </c>
      <c r="D187" s="324" t="s">
        <v>797</v>
      </c>
      <c r="E187" s="323">
        <v>240</v>
      </c>
      <c r="F187" s="344">
        <f>'приложение 4'!Q306</f>
        <v>0</v>
      </c>
      <c r="G187" s="221">
        <f>'приложение 4'!R306</f>
        <v>0</v>
      </c>
    </row>
    <row r="188" spans="1:7" ht="31.5">
      <c r="A188" s="297" t="s">
        <v>594</v>
      </c>
      <c r="B188" s="323" t="s">
        <v>798</v>
      </c>
      <c r="C188" s="324"/>
      <c r="D188" s="324"/>
      <c r="E188" s="323"/>
      <c r="F188" s="221">
        <f>F189</f>
        <v>8411</v>
      </c>
      <c r="G188" s="221">
        <f>G189</f>
        <v>0</v>
      </c>
    </row>
    <row r="189" spans="1:7" ht="31.5">
      <c r="A189" s="297" t="s">
        <v>277</v>
      </c>
      <c r="B189" s="323" t="s">
        <v>798</v>
      </c>
      <c r="C189" s="324" t="s">
        <v>718</v>
      </c>
      <c r="D189" s="324" t="s">
        <v>797</v>
      </c>
      <c r="E189" s="323">
        <v>240</v>
      </c>
      <c r="F189" s="221">
        <f>'приложение 4'!Q308</f>
        <v>8411</v>
      </c>
      <c r="G189" s="221">
        <f>'приложение 4'!R308</f>
        <v>0</v>
      </c>
    </row>
    <row r="190" spans="1:7" ht="15.75">
      <c r="A190" s="297" t="s">
        <v>595</v>
      </c>
      <c r="B190" s="323" t="s">
        <v>799</v>
      </c>
      <c r="C190" s="324"/>
      <c r="D190" s="324"/>
      <c r="E190" s="323"/>
      <c r="F190" s="221">
        <f>F191</f>
        <v>792.4</v>
      </c>
      <c r="G190" s="221">
        <f>G191</f>
        <v>792.4</v>
      </c>
    </row>
    <row r="191" spans="1:7" ht="31.5">
      <c r="A191" s="297" t="s">
        <v>277</v>
      </c>
      <c r="B191" s="323" t="s">
        <v>799</v>
      </c>
      <c r="C191" s="324" t="s">
        <v>718</v>
      </c>
      <c r="D191" s="324" t="s">
        <v>100</v>
      </c>
      <c r="E191" s="323">
        <v>240</v>
      </c>
      <c r="F191" s="221">
        <f>'приложение 4'!Q322</f>
        <v>792.4</v>
      </c>
      <c r="G191" s="221">
        <f>'приложение 4'!R322</f>
        <v>792.4</v>
      </c>
    </row>
    <row r="192" spans="1:7" ht="31.5">
      <c r="A192" s="295" t="s">
        <v>662</v>
      </c>
      <c r="B192" s="321" t="s">
        <v>800</v>
      </c>
      <c r="C192" s="322"/>
      <c r="D192" s="322"/>
      <c r="E192" s="321"/>
      <c r="F192" s="220">
        <f>F193+F197+F215</f>
        <v>26287.6</v>
      </c>
      <c r="G192" s="220">
        <f>G193+G197+G215</f>
        <v>26232.399999999998</v>
      </c>
    </row>
    <row r="193" spans="1:7" ht="31.5" hidden="1">
      <c r="A193" s="297" t="s">
        <v>663</v>
      </c>
      <c r="B193" s="323" t="s">
        <v>801</v>
      </c>
      <c r="C193" s="324"/>
      <c r="D193" s="324"/>
      <c r="E193" s="323"/>
      <c r="F193" s="344">
        <f aca="true" t="shared" si="0" ref="F193:G195">F194</f>
        <v>0</v>
      </c>
      <c r="G193" s="221">
        <f t="shared" si="0"/>
        <v>0</v>
      </c>
    </row>
    <row r="194" spans="1:7" s="194" customFormat="1" ht="31.5" hidden="1">
      <c r="A194" s="297" t="s">
        <v>664</v>
      </c>
      <c r="B194" s="323" t="s">
        <v>802</v>
      </c>
      <c r="C194" s="324"/>
      <c r="D194" s="324"/>
      <c r="E194" s="323"/>
      <c r="F194" s="344">
        <f t="shared" si="0"/>
        <v>0</v>
      </c>
      <c r="G194" s="221">
        <f t="shared" si="0"/>
        <v>0</v>
      </c>
    </row>
    <row r="195" spans="1:7" ht="15.75" hidden="1">
      <c r="A195" s="297" t="s">
        <v>64</v>
      </c>
      <c r="B195" s="323" t="s">
        <v>803</v>
      </c>
      <c r="C195" s="324"/>
      <c r="D195" s="324"/>
      <c r="E195" s="323"/>
      <c r="F195" s="344">
        <f t="shared" si="0"/>
        <v>0</v>
      </c>
      <c r="G195" s="221">
        <f t="shared" si="0"/>
        <v>0</v>
      </c>
    </row>
    <row r="196" spans="1:7" ht="31.5" hidden="1">
      <c r="A196" s="294" t="s">
        <v>277</v>
      </c>
      <c r="B196" s="323" t="s">
        <v>803</v>
      </c>
      <c r="C196" s="324" t="s">
        <v>804</v>
      </c>
      <c r="D196" s="324" t="s">
        <v>101</v>
      </c>
      <c r="E196" s="323">
        <v>240</v>
      </c>
      <c r="F196" s="344">
        <f>'приложение 4'!Q594</f>
        <v>0</v>
      </c>
      <c r="G196" s="221">
        <f>'приложение 4'!R594</f>
        <v>0</v>
      </c>
    </row>
    <row r="197" spans="1:7" ht="47.25">
      <c r="A197" s="297" t="s">
        <v>665</v>
      </c>
      <c r="B197" s="323" t="s">
        <v>805</v>
      </c>
      <c r="C197" s="324"/>
      <c r="D197" s="324"/>
      <c r="E197" s="323"/>
      <c r="F197" s="221">
        <f>F198+F207</f>
        <v>26267.399999999998</v>
      </c>
      <c r="G197" s="221">
        <f>G198+G207</f>
        <v>26212.199999999997</v>
      </c>
    </row>
    <row r="198" spans="1:7" s="194" customFormat="1" ht="78.75">
      <c r="A198" s="297" t="s">
        <v>666</v>
      </c>
      <c r="B198" s="323" t="s">
        <v>806</v>
      </c>
      <c r="C198" s="324"/>
      <c r="D198" s="324"/>
      <c r="E198" s="323"/>
      <c r="F198" s="221">
        <f>F199+F205+F203</f>
        <v>8614.8</v>
      </c>
      <c r="G198" s="221">
        <f>G199+G205+G203</f>
        <v>8575.9</v>
      </c>
    </row>
    <row r="199" spans="1:7" ht="15.75">
      <c r="A199" s="334" t="s">
        <v>64</v>
      </c>
      <c r="B199" s="323" t="s">
        <v>807</v>
      </c>
      <c r="C199" s="324"/>
      <c r="D199" s="324"/>
      <c r="E199" s="323"/>
      <c r="F199" s="221">
        <f>SUM(F200:F202)</f>
        <v>7202.4</v>
      </c>
      <c r="G199" s="221">
        <f>SUM(G200:G202)</f>
        <v>7163.5</v>
      </c>
    </row>
    <row r="200" spans="1:7" ht="15.75">
      <c r="A200" s="334" t="s">
        <v>210</v>
      </c>
      <c r="B200" s="323" t="s">
        <v>807</v>
      </c>
      <c r="C200" s="324" t="s">
        <v>804</v>
      </c>
      <c r="D200" s="324" t="s">
        <v>101</v>
      </c>
      <c r="E200" s="323">
        <v>120</v>
      </c>
      <c r="F200" s="221">
        <f>'приложение 4'!Q598</f>
        <v>6395.2</v>
      </c>
      <c r="G200" s="221">
        <f>'приложение 4'!R598</f>
        <v>6373.2</v>
      </c>
    </row>
    <row r="201" spans="1:7" ht="31.5">
      <c r="A201" s="334" t="s">
        <v>277</v>
      </c>
      <c r="B201" s="323" t="s">
        <v>807</v>
      </c>
      <c r="C201" s="324" t="s">
        <v>804</v>
      </c>
      <c r="D201" s="324" t="s">
        <v>101</v>
      </c>
      <c r="E201" s="323">
        <v>240</v>
      </c>
      <c r="F201" s="221">
        <f>'приложение 4'!Q599</f>
        <v>767.0999999999999</v>
      </c>
      <c r="G201" s="221">
        <f>'приложение 4'!R599</f>
        <v>750.3</v>
      </c>
    </row>
    <row r="202" spans="1:7" ht="15.75">
      <c r="A202" s="334" t="s">
        <v>278</v>
      </c>
      <c r="B202" s="323" t="s">
        <v>807</v>
      </c>
      <c r="C202" s="324" t="s">
        <v>804</v>
      </c>
      <c r="D202" s="324" t="s">
        <v>101</v>
      </c>
      <c r="E202" s="323">
        <v>850</v>
      </c>
      <c r="F202" s="221">
        <f>'приложение 4'!Q600</f>
        <v>40.1</v>
      </c>
      <c r="G202" s="221">
        <f>'приложение 4'!R600</f>
        <v>40</v>
      </c>
    </row>
    <row r="203" spans="1:7" ht="47.25">
      <c r="A203" s="297" t="s">
        <v>458</v>
      </c>
      <c r="B203" s="323" t="s">
        <v>808</v>
      </c>
      <c r="C203" s="324"/>
      <c r="D203" s="324"/>
      <c r="E203" s="323"/>
      <c r="F203" s="221">
        <f>F204</f>
        <v>367.1</v>
      </c>
      <c r="G203" s="221">
        <f>G204</f>
        <v>367.1</v>
      </c>
    </row>
    <row r="204" spans="1:7" ht="15.75">
      <c r="A204" s="297" t="s">
        <v>210</v>
      </c>
      <c r="B204" s="323" t="s">
        <v>808</v>
      </c>
      <c r="C204" s="324" t="s">
        <v>804</v>
      </c>
      <c r="D204" s="324" t="s">
        <v>101</v>
      </c>
      <c r="E204" s="323">
        <v>120</v>
      </c>
      <c r="F204" s="221">
        <f>'приложение 4'!Q602</f>
        <v>367.1</v>
      </c>
      <c r="G204" s="221">
        <f>'приложение 4'!R602</f>
        <v>367.1</v>
      </c>
    </row>
    <row r="205" spans="1:7" ht="31.5">
      <c r="A205" s="297" t="s">
        <v>353</v>
      </c>
      <c r="B205" s="323" t="s">
        <v>809</v>
      </c>
      <c r="C205" s="324"/>
      <c r="D205" s="324"/>
      <c r="E205" s="323"/>
      <c r="F205" s="221">
        <f>F206</f>
        <v>1045.3</v>
      </c>
      <c r="G205" s="221">
        <f>G206</f>
        <v>1045.3</v>
      </c>
    </row>
    <row r="206" spans="1:7" ht="15.75">
      <c r="A206" s="297" t="s">
        <v>210</v>
      </c>
      <c r="B206" s="323" t="s">
        <v>809</v>
      </c>
      <c r="C206" s="324" t="s">
        <v>804</v>
      </c>
      <c r="D206" s="324" t="s">
        <v>101</v>
      </c>
      <c r="E206" s="323">
        <v>120</v>
      </c>
      <c r="F206" s="221">
        <f>'приложение 4'!Q604</f>
        <v>1045.3</v>
      </c>
      <c r="G206" s="221">
        <f>'приложение 4'!R604</f>
        <v>1045.3</v>
      </c>
    </row>
    <row r="207" spans="1:7" ht="31.5">
      <c r="A207" s="334" t="s">
        <v>274</v>
      </c>
      <c r="B207" s="323" t="s">
        <v>810</v>
      </c>
      <c r="C207" s="324"/>
      <c r="D207" s="324"/>
      <c r="E207" s="323"/>
      <c r="F207" s="221">
        <f>F208+F213</f>
        <v>17652.6</v>
      </c>
      <c r="G207" s="221">
        <f>G208+G213</f>
        <v>17636.3</v>
      </c>
    </row>
    <row r="208" spans="1:7" ht="15.75">
      <c r="A208" s="334" t="s">
        <v>65</v>
      </c>
      <c r="B208" s="323" t="s">
        <v>811</v>
      </c>
      <c r="C208" s="324"/>
      <c r="D208" s="324"/>
      <c r="E208" s="323"/>
      <c r="F208" s="221">
        <f>SUM(F209:F212)</f>
        <v>14101.4</v>
      </c>
      <c r="G208" s="221">
        <f>SUM(G209:G212)</f>
        <v>14085.1</v>
      </c>
    </row>
    <row r="209" spans="1:7" ht="15.75">
      <c r="A209" s="334" t="s">
        <v>280</v>
      </c>
      <c r="B209" s="323" t="s">
        <v>811</v>
      </c>
      <c r="C209" s="324" t="s">
        <v>804</v>
      </c>
      <c r="D209" s="324" t="s">
        <v>88</v>
      </c>
      <c r="E209" s="323">
        <v>110</v>
      </c>
      <c r="F209" s="221">
        <f>'приложение 4'!Q614</f>
        <v>13232.4</v>
      </c>
      <c r="G209" s="221">
        <f>'приложение 4'!R614</f>
        <v>13232.4</v>
      </c>
    </row>
    <row r="210" spans="1:7" ht="31.5">
      <c r="A210" s="334" t="s">
        <v>277</v>
      </c>
      <c r="B210" s="323" t="s">
        <v>811</v>
      </c>
      <c r="C210" s="324" t="s">
        <v>804</v>
      </c>
      <c r="D210" s="324" t="s">
        <v>88</v>
      </c>
      <c r="E210" s="323">
        <v>240</v>
      </c>
      <c r="F210" s="221">
        <f>'приложение 4'!Q615</f>
        <v>865</v>
      </c>
      <c r="G210" s="221">
        <f>'приложение 4'!R615</f>
        <v>848.7</v>
      </c>
    </row>
    <row r="211" spans="1:7" ht="31.5">
      <c r="A211" s="297" t="s">
        <v>282</v>
      </c>
      <c r="B211" s="323" t="s">
        <v>811</v>
      </c>
      <c r="C211" s="324" t="s">
        <v>804</v>
      </c>
      <c r="D211" s="324" t="s">
        <v>88</v>
      </c>
      <c r="E211" s="323">
        <v>320</v>
      </c>
      <c r="F211" s="221">
        <f>'приложение 4'!Q616</f>
        <v>4</v>
      </c>
      <c r="G211" s="221">
        <f>'приложение 4'!R616</f>
        <v>4</v>
      </c>
    </row>
    <row r="212" spans="1:7" ht="15.75" hidden="1">
      <c r="A212" s="297" t="s">
        <v>278</v>
      </c>
      <c r="B212" s="323" t="s">
        <v>811</v>
      </c>
      <c r="C212" s="324" t="s">
        <v>804</v>
      </c>
      <c r="D212" s="324" t="s">
        <v>88</v>
      </c>
      <c r="E212" s="323">
        <v>850</v>
      </c>
      <c r="F212" s="344">
        <f>'приложение 4'!Q617</f>
        <v>0</v>
      </c>
      <c r="G212" s="221">
        <f>'приложение 4'!R617</f>
        <v>0</v>
      </c>
    </row>
    <row r="213" spans="1:7" ht="31.5">
      <c r="A213" s="297" t="s">
        <v>353</v>
      </c>
      <c r="B213" s="323" t="s">
        <v>812</v>
      </c>
      <c r="C213" s="324"/>
      <c r="D213" s="324"/>
      <c r="E213" s="323"/>
      <c r="F213" s="221">
        <f>F214</f>
        <v>3551.2</v>
      </c>
      <c r="G213" s="221">
        <f>G214</f>
        <v>3551.2</v>
      </c>
    </row>
    <row r="214" spans="1:7" ht="15.75">
      <c r="A214" s="297" t="s">
        <v>309</v>
      </c>
      <c r="B214" s="323" t="s">
        <v>812</v>
      </c>
      <c r="C214" s="324" t="s">
        <v>804</v>
      </c>
      <c r="D214" s="324" t="s">
        <v>88</v>
      </c>
      <c r="E214" s="323">
        <v>110</v>
      </c>
      <c r="F214" s="221">
        <f>'приложение 4'!Q619</f>
        <v>3551.2</v>
      </c>
      <c r="G214" s="221">
        <f>'приложение 4'!R619</f>
        <v>3551.2</v>
      </c>
    </row>
    <row r="215" spans="1:7" ht="15.75">
      <c r="A215" s="297" t="s">
        <v>667</v>
      </c>
      <c r="B215" s="323" t="s">
        <v>813</v>
      </c>
      <c r="C215" s="324"/>
      <c r="D215" s="324"/>
      <c r="E215" s="323"/>
      <c r="F215" s="221">
        <f aca="true" t="shared" si="1" ref="F215:G217">F216</f>
        <v>20.2</v>
      </c>
      <c r="G215" s="221">
        <f t="shared" si="1"/>
        <v>20.2</v>
      </c>
    </row>
    <row r="216" spans="1:7" ht="31.5">
      <c r="A216" s="297" t="s">
        <v>445</v>
      </c>
      <c r="B216" s="323" t="s">
        <v>814</v>
      </c>
      <c r="C216" s="324"/>
      <c r="D216" s="324"/>
      <c r="E216" s="323"/>
      <c r="F216" s="221">
        <f t="shared" si="1"/>
        <v>20.2</v>
      </c>
      <c r="G216" s="221">
        <f t="shared" si="1"/>
        <v>20.2</v>
      </c>
    </row>
    <row r="217" spans="1:7" ht="15.75">
      <c r="A217" s="297" t="s">
        <v>446</v>
      </c>
      <c r="B217" s="323" t="s">
        <v>815</v>
      </c>
      <c r="C217" s="324"/>
      <c r="D217" s="324"/>
      <c r="E217" s="323"/>
      <c r="F217" s="221">
        <f t="shared" si="1"/>
        <v>20.2</v>
      </c>
      <c r="G217" s="221">
        <f t="shared" si="1"/>
        <v>20.2</v>
      </c>
    </row>
    <row r="218" spans="1:7" ht="31.5">
      <c r="A218" s="297" t="s">
        <v>277</v>
      </c>
      <c r="B218" s="323" t="s">
        <v>815</v>
      </c>
      <c r="C218" s="324" t="s">
        <v>804</v>
      </c>
      <c r="D218" s="324" t="s">
        <v>101</v>
      </c>
      <c r="E218" s="323">
        <v>240</v>
      </c>
      <c r="F218" s="221">
        <f>'приложение 4'!Q608</f>
        <v>20.2</v>
      </c>
      <c r="G218" s="221">
        <f>'приложение 4'!R608</f>
        <v>20.2</v>
      </c>
    </row>
    <row r="219" spans="1:7" ht="31.5">
      <c r="A219" s="307" t="s">
        <v>598</v>
      </c>
      <c r="B219" s="321" t="s">
        <v>816</v>
      </c>
      <c r="C219" s="322"/>
      <c r="D219" s="322"/>
      <c r="E219" s="321"/>
      <c r="F219" s="220">
        <f>F220+F229+F234+F240</f>
        <v>50867.50000000001</v>
      </c>
      <c r="G219" s="220">
        <f>G220+G229+G234+G240</f>
        <v>50867.50000000001</v>
      </c>
    </row>
    <row r="220" spans="1:7" ht="31.5">
      <c r="A220" s="296" t="s">
        <v>604</v>
      </c>
      <c r="B220" s="323" t="s">
        <v>817</v>
      </c>
      <c r="C220" s="324"/>
      <c r="D220" s="324"/>
      <c r="E220" s="323"/>
      <c r="F220" s="221">
        <f>F221+F223+F225+F227</f>
        <v>19274.2</v>
      </c>
      <c r="G220" s="221">
        <f>G221+G223+G225+G227</f>
        <v>19274.2</v>
      </c>
    </row>
    <row r="221" spans="1:7" ht="15.75">
      <c r="A221" s="299" t="s">
        <v>40</v>
      </c>
      <c r="B221" s="323" t="s">
        <v>818</v>
      </c>
      <c r="C221" s="324"/>
      <c r="D221" s="324"/>
      <c r="E221" s="323"/>
      <c r="F221" s="221">
        <f>F222</f>
        <v>12738.5</v>
      </c>
      <c r="G221" s="221">
        <f>G222</f>
        <v>12738.5</v>
      </c>
    </row>
    <row r="222" spans="1:7" ht="15.75">
      <c r="A222" s="334" t="s">
        <v>279</v>
      </c>
      <c r="B222" s="323" t="s">
        <v>818</v>
      </c>
      <c r="C222" s="324" t="s">
        <v>718</v>
      </c>
      <c r="D222" s="324" t="s">
        <v>174</v>
      </c>
      <c r="E222" s="323">
        <v>610</v>
      </c>
      <c r="F222" s="221">
        <f>'приложение 4'!Q359</f>
        <v>12738.5</v>
      </c>
      <c r="G222" s="221">
        <f>'приложение 4'!R359</f>
        <v>12738.5</v>
      </c>
    </row>
    <row r="223" spans="1:7" ht="31.5">
      <c r="A223" s="303" t="s">
        <v>353</v>
      </c>
      <c r="B223" s="323" t="s">
        <v>819</v>
      </c>
      <c r="C223" s="324"/>
      <c r="D223" s="324"/>
      <c r="E223" s="323"/>
      <c r="F223" s="221">
        <f>F224</f>
        <v>4757.2</v>
      </c>
      <c r="G223" s="221">
        <f>G224</f>
        <v>4757.2</v>
      </c>
    </row>
    <row r="224" spans="1:7" ht="15.75">
      <c r="A224" s="303" t="s">
        <v>279</v>
      </c>
      <c r="B224" s="323" t="s">
        <v>819</v>
      </c>
      <c r="C224" s="324" t="s">
        <v>718</v>
      </c>
      <c r="D224" s="324" t="s">
        <v>174</v>
      </c>
      <c r="E224" s="323">
        <v>610</v>
      </c>
      <c r="F224" s="221">
        <f>'приложение 4'!Q361</f>
        <v>4757.2</v>
      </c>
      <c r="G224" s="221">
        <f>'приложение 4'!R361</f>
        <v>4757.2</v>
      </c>
    </row>
    <row r="225" spans="1:7" ht="31.5">
      <c r="A225" s="299" t="s">
        <v>605</v>
      </c>
      <c r="B225" s="323" t="s">
        <v>820</v>
      </c>
      <c r="C225" s="324"/>
      <c r="D225" s="324"/>
      <c r="E225" s="323"/>
      <c r="F225" s="221">
        <f>F226</f>
        <v>1400.5</v>
      </c>
      <c r="G225" s="221">
        <f>G226</f>
        <v>1400.5</v>
      </c>
    </row>
    <row r="226" spans="1:7" ht="15.75">
      <c r="A226" s="297" t="s">
        <v>279</v>
      </c>
      <c r="B226" s="323" t="s">
        <v>820</v>
      </c>
      <c r="C226" s="324" t="s">
        <v>718</v>
      </c>
      <c r="D226" s="324" t="s">
        <v>174</v>
      </c>
      <c r="E226" s="323">
        <v>610</v>
      </c>
      <c r="F226" s="221">
        <f>'приложение 4'!Q363</f>
        <v>1400.5</v>
      </c>
      <c r="G226" s="221">
        <f>'приложение 4'!R363</f>
        <v>1400.5</v>
      </c>
    </row>
    <row r="227" spans="1:7" ht="15.75">
      <c r="A227" s="296" t="s">
        <v>607</v>
      </c>
      <c r="B227" s="323" t="s">
        <v>821</v>
      </c>
      <c r="C227" s="324"/>
      <c r="D227" s="324"/>
      <c r="E227" s="323"/>
      <c r="F227" s="221">
        <f>F228</f>
        <v>378</v>
      </c>
      <c r="G227" s="221">
        <f>G228</f>
        <v>378</v>
      </c>
    </row>
    <row r="228" spans="1:7" ht="15.75">
      <c r="A228" s="297" t="s">
        <v>279</v>
      </c>
      <c r="B228" s="323" t="s">
        <v>821</v>
      </c>
      <c r="C228" s="324" t="s">
        <v>718</v>
      </c>
      <c r="D228" s="324" t="s">
        <v>174</v>
      </c>
      <c r="E228" s="323">
        <v>610</v>
      </c>
      <c r="F228" s="221">
        <f>'приложение 4'!Q365</f>
        <v>378</v>
      </c>
      <c r="G228" s="221">
        <f>'приложение 4'!R365</f>
        <v>378</v>
      </c>
    </row>
    <row r="229" spans="1:7" ht="31.5">
      <c r="A229" s="294" t="s">
        <v>263</v>
      </c>
      <c r="B229" s="323" t="s">
        <v>822</v>
      </c>
      <c r="C229" s="324"/>
      <c r="D229" s="324"/>
      <c r="E229" s="323"/>
      <c r="F229" s="221">
        <f>F230+F232</f>
        <v>18409.9</v>
      </c>
      <c r="G229" s="221">
        <f>G230+G232</f>
        <v>18409.9</v>
      </c>
    </row>
    <row r="230" spans="1:7" ht="15.75">
      <c r="A230" s="294" t="s">
        <v>8</v>
      </c>
      <c r="B230" s="323" t="s">
        <v>823</v>
      </c>
      <c r="C230" s="324"/>
      <c r="D230" s="324"/>
      <c r="E230" s="323"/>
      <c r="F230" s="221">
        <f>F231</f>
        <v>9594.3</v>
      </c>
      <c r="G230" s="221">
        <f>G231</f>
        <v>9594.3</v>
      </c>
    </row>
    <row r="231" spans="1:7" ht="15.75">
      <c r="A231" s="334" t="s">
        <v>279</v>
      </c>
      <c r="B231" s="323" t="s">
        <v>823</v>
      </c>
      <c r="C231" s="324" t="s">
        <v>718</v>
      </c>
      <c r="D231" s="324" t="s">
        <v>174</v>
      </c>
      <c r="E231" s="323">
        <v>610</v>
      </c>
      <c r="F231" s="221">
        <f>'приложение 4'!Q368</f>
        <v>9594.3</v>
      </c>
      <c r="G231" s="221">
        <f>'приложение 4'!R368</f>
        <v>9594.3</v>
      </c>
    </row>
    <row r="232" spans="1:7" ht="31.5">
      <c r="A232" s="303" t="s">
        <v>353</v>
      </c>
      <c r="B232" s="323" t="s">
        <v>824</v>
      </c>
      <c r="C232" s="324"/>
      <c r="D232" s="324"/>
      <c r="E232" s="323"/>
      <c r="F232" s="221">
        <f>F233</f>
        <v>8815.6</v>
      </c>
      <c r="G232" s="221">
        <f>G233</f>
        <v>8815.6</v>
      </c>
    </row>
    <row r="233" spans="1:7" ht="15.75">
      <c r="A233" s="303" t="s">
        <v>279</v>
      </c>
      <c r="B233" s="323" t="s">
        <v>824</v>
      </c>
      <c r="C233" s="324" t="s">
        <v>718</v>
      </c>
      <c r="D233" s="324" t="s">
        <v>174</v>
      </c>
      <c r="E233" s="323">
        <v>610</v>
      </c>
      <c r="F233" s="221">
        <f>'приложение 4'!Q370</f>
        <v>8815.6</v>
      </c>
      <c r="G233" s="221">
        <f>'приложение 4'!R370</f>
        <v>8815.6</v>
      </c>
    </row>
    <row r="234" spans="1:7" ht="31.5">
      <c r="A234" s="299" t="s">
        <v>609</v>
      </c>
      <c r="B234" s="323" t="s">
        <v>825</v>
      </c>
      <c r="C234" s="324"/>
      <c r="D234" s="324"/>
      <c r="E234" s="323"/>
      <c r="F234" s="221">
        <f>F235+F238</f>
        <v>2617.5</v>
      </c>
      <c r="G234" s="221">
        <f>G235+G238</f>
        <v>2617.5</v>
      </c>
    </row>
    <row r="235" spans="1:7" ht="15.75">
      <c r="A235" s="294" t="s">
        <v>8</v>
      </c>
      <c r="B235" s="323" t="s">
        <v>826</v>
      </c>
      <c r="C235" s="324"/>
      <c r="D235" s="324"/>
      <c r="E235" s="323"/>
      <c r="F235" s="221">
        <f>F237+F236</f>
        <v>296.2</v>
      </c>
      <c r="G235" s="221">
        <f>G237+G236</f>
        <v>296.2</v>
      </c>
    </row>
    <row r="236" spans="1:7" ht="31.5" hidden="1">
      <c r="A236" s="308" t="s">
        <v>277</v>
      </c>
      <c r="B236" s="323" t="s">
        <v>826</v>
      </c>
      <c r="C236" s="324" t="s">
        <v>718</v>
      </c>
      <c r="D236" s="324" t="s">
        <v>174</v>
      </c>
      <c r="E236" s="323">
        <v>240</v>
      </c>
      <c r="F236" s="344">
        <f>'приложение 4'!Q373</f>
        <v>0</v>
      </c>
      <c r="G236" s="221">
        <f>'приложение 4'!R373</f>
        <v>0</v>
      </c>
    </row>
    <row r="237" spans="1:7" ht="15.75">
      <c r="A237" s="294" t="s">
        <v>279</v>
      </c>
      <c r="B237" s="323" t="s">
        <v>826</v>
      </c>
      <c r="C237" s="324" t="s">
        <v>718</v>
      </c>
      <c r="D237" s="324" t="s">
        <v>174</v>
      </c>
      <c r="E237" s="323">
        <v>610</v>
      </c>
      <c r="F237" s="221">
        <f>'приложение 4'!Q374</f>
        <v>296.2</v>
      </c>
      <c r="G237" s="221">
        <f>'приложение 4'!R374</f>
        <v>296.2</v>
      </c>
    </row>
    <row r="238" spans="1:7" ht="31.5">
      <c r="A238" s="296" t="s">
        <v>605</v>
      </c>
      <c r="B238" s="323" t="s">
        <v>827</v>
      </c>
      <c r="C238" s="324"/>
      <c r="D238" s="324"/>
      <c r="E238" s="323"/>
      <c r="F238" s="221">
        <f>F239</f>
        <v>2321.3</v>
      </c>
      <c r="G238" s="221">
        <f>G239</f>
        <v>2321.3</v>
      </c>
    </row>
    <row r="239" spans="1:7" ht="15.75">
      <c r="A239" s="297" t="s">
        <v>279</v>
      </c>
      <c r="B239" s="323" t="s">
        <v>827</v>
      </c>
      <c r="C239" s="324" t="s">
        <v>718</v>
      </c>
      <c r="D239" s="324" t="s">
        <v>174</v>
      </c>
      <c r="E239" s="323">
        <v>610</v>
      </c>
      <c r="F239" s="221">
        <f>'приложение 4'!Q376</f>
        <v>2321.3</v>
      </c>
      <c r="G239" s="221">
        <f>'приложение 4'!R376</f>
        <v>2321.3</v>
      </c>
    </row>
    <row r="240" spans="1:7" ht="47.25">
      <c r="A240" s="303" t="s">
        <v>257</v>
      </c>
      <c r="B240" s="323" t="s">
        <v>828</v>
      </c>
      <c r="C240" s="324"/>
      <c r="D240" s="324"/>
      <c r="E240" s="323"/>
      <c r="F240" s="221">
        <f>F241+F243</f>
        <v>10565.9</v>
      </c>
      <c r="G240" s="221">
        <f>G241+G243</f>
        <v>10565.9</v>
      </c>
    </row>
    <row r="241" spans="1:7" ht="15.75">
      <c r="A241" s="303" t="s">
        <v>61</v>
      </c>
      <c r="B241" s="323" t="s">
        <v>829</v>
      </c>
      <c r="C241" s="324"/>
      <c r="D241" s="324"/>
      <c r="E241" s="323"/>
      <c r="F241" s="221">
        <f>F242</f>
        <v>6711.2</v>
      </c>
      <c r="G241" s="221">
        <f>G242</f>
        <v>6711.2</v>
      </c>
    </row>
    <row r="242" spans="1:7" ht="15.75">
      <c r="A242" s="334" t="s">
        <v>279</v>
      </c>
      <c r="B242" s="323" t="s">
        <v>829</v>
      </c>
      <c r="C242" s="324" t="s">
        <v>718</v>
      </c>
      <c r="D242" s="324" t="s">
        <v>97</v>
      </c>
      <c r="E242" s="323">
        <v>610</v>
      </c>
      <c r="F242" s="221">
        <f>'приложение 4'!Q337</f>
        <v>6711.2</v>
      </c>
      <c r="G242" s="221">
        <f>'приложение 4'!R337</f>
        <v>6711.2</v>
      </c>
    </row>
    <row r="243" spans="1:7" ht="31.5">
      <c r="A243" s="303" t="s">
        <v>353</v>
      </c>
      <c r="B243" s="323" t="s">
        <v>830</v>
      </c>
      <c r="C243" s="324"/>
      <c r="D243" s="324"/>
      <c r="E243" s="323"/>
      <c r="F243" s="221">
        <f>F244</f>
        <v>3854.7000000000003</v>
      </c>
      <c r="G243" s="221">
        <f>G244</f>
        <v>3854.7</v>
      </c>
    </row>
    <row r="244" spans="1:7" ht="15.75">
      <c r="A244" s="303" t="s">
        <v>279</v>
      </c>
      <c r="B244" s="323" t="s">
        <v>830</v>
      </c>
      <c r="C244" s="324" t="s">
        <v>718</v>
      </c>
      <c r="D244" s="324" t="s">
        <v>97</v>
      </c>
      <c r="E244" s="323">
        <v>610</v>
      </c>
      <c r="F244" s="221">
        <f>'приложение 4'!Q339</f>
        <v>3854.7000000000003</v>
      </c>
      <c r="G244" s="221">
        <f>'приложение 4'!R339</f>
        <v>3854.7</v>
      </c>
    </row>
    <row r="245" spans="1:7" ht="47.25">
      <c r="A245" s="295" t="s">
        <v>518</v>
      </c>
      <c r="B245" s="321" t="s">
        <v>74</v>
      </c>
      <c r="C245" s="322"/>
      <c r="D245" s="322"/>
      <c r="E245" s="321"/>
      <c r="F245" s="220">
        <f>F246+F262+F267+F274</f>
        <v>4727</v>
      </c>
      <c r="G245" s="220">
        <f>G246+G262+G267+G274</f>
        <v>4268.3</v>
      </c>
    </row>
    <row r="246" spans="1:7" ht="15.75">
      <c r="A246" s="299" t="s">
        <v>247</v>
      </c>
      <c r="B246" s="323" t="s">
        <v>831</v>
      </c>
      <c r="C246" s="324"/>
      <c r="D246" s="324"/>
      <c r="E246" s="323"/>
      <c r="F246" s="221">
        <f>F247+F250+F258</f>
        <v>140.6</v>
      </c>
      <c r="G246" s="221">
        <f>G247+G250+G258</f>
        <v>137.1</v>
      </c>
    </row>
    <row r="247" spans="1:7" ht="47.25">
      <c r="A247" s="299" t="s">
        <v>527</v>
      </c>
      <c r="B247" s="323" t="s">
        <v>832</v>
      </c>
      <c r="C247" s="324"/>
      <c r="D247" s="324"/>
      <c r="E247" s="323"/>
      <c r="F247" s="221">
        <f>F248</f>
        <v>25</v>
      </c>
      <c r="G247" s="221">
        <f>G248</f>
        <v>25</v>
      </c>
    </row>
    <row r="248" spans="1:7" s="194" customFormat="1" ht="15.75">
      <c r="A248" s="299" t="s">
        <v>528</v>
      </c>
      <c r="B248" s="323" t="s">
        <v>833</v>
      </c>
      <c r="C248" s="324"/>
      <c r="D248" s="324"/>
      <c r="E248" s="323"/>
      <c r="F248" s="221">
        <f>F249</f>
        <v>25</v>
      </c>
      <c r="G248" s="221">
        <f>G249</f>
        <v>25</v>
      </c>
    </row>
    <row r="249" spans="1:7" ht="31.5">
      <c r="A249" s="294" t="s">
        <v>277</v>
      </c>
      <c r="B249" s="323" t="s">
        <v>833</v>
      </c>
      <c r="C249" s="324" t="s">
        <v>718</v>
      </c>
      <c r="D249" s="324" t="s">
        <v>105</v>
      </c>
      <c r="E249" s="323">
        <v>240</v>
      </c>
      <c r="F249" s="221">
        <f>'приложение 4'!Q143</f>
        <v>25</v>
      </c>
      <c r="G249" s="221">
        <f>'приложение 4'!R143</f>
        <v>25</v>
      </c>
    </row>
    <row r="250" spans="1:7" ht="31.5">
      <c r="A250" s="299" t="s">
        <v>524</v>
      </c>
      <c r="B250" s="323" t="s">
        <v>834</v>
      </c>
      <c r="C250" s="327"/>
      <c r="D250" s="327"/>
      <c r="E250" s="323"/>
      <c r="F250" s="287">
        <f>F251+F255+F253</f>
        <v>114.1</v>
      </c>
      <c r="G250" s="287">
        <f>G251+G255+G253</f>
        <v>110.6</v>
      </c>
    </row>
    <row r="251" spans="1:7" ht="31.5">
      <c r="A251" s="297" t="s">
        <v>480</v>
      </c>
      <c r="B251" s="323" t="s">
        <v>835</v>
      </c>
      <c r="C251" s="324"/>
      <c r="D251" s="324"/>
      <c r="E251" s="323"/>
      <c r="F251" s="221">
        <f>F252</f>
        <v>5</v>
      </c>
      <c r="G251" s="221">
        <f>G252</f>
        <v>5</v>
      </c>
    </row>
    <row r="252" spans="1:7" ht="31.5">
      <c r="A252" s="294" t="s">
        <v>277</v>
      </c>
      <c r="B252" s="323" t="s">
        <v>835</v>
      </c>
      <c r="C252" s="324" t="s">
        <v>718</v>
      </c>
      <c r="D252" s="324" t="s">
        <v>105</v>
      </c>
      <c r="E252" s="323">
        <v>240</v>
      </c>
      <c r="F252" s="221">
        <f>'приложение 4'!Q146</f>
        <v>5</v>
      </c>
      <c r="G252" s="221">
        <f>'приложение 4'!R146</f>
        <v>5</v>
      </c>
    </row>
    <row r="253" spans="1:7" ht="31.5">
      <c r="A253" s="299" t="s">
        <v>530</v>
      </c>
      <c r="B253" s="323" t="s">
        <v>836</v>
      </c>
      <c r="C253" s="324"/>
      <c r="D253" s="324"/>
      <c r="E253" s="323"/>
      <c r="F253" s="221">
        <f>F254</f>
        <v>3.5</v>
      </c>
      <c r="G253" s="221">
        <f>G254</f>
        <v>0</v>
      </c>
    </row>
    <row r="254" spans="1:7" ht="31.5">
      <c r="A254" s="294" t="s">
        <v>277</v>
      </c>
      <c r="B254" s="323" t="s">
        <v>836</v>
      </c>
      <c r="C254" s="324" t="s">
        <v>718</v>
      </c>
      <c r="D254" s="324" t="s">
        <v>105</v>
      </c>
      <c r="E254" s="323">
        <v>240</v>
      </c>
      <c r="F254" s="221">
        <f>'приложение 4'!Q148</f>
        <v>3.5</v>
      </c>
      <c r="G254" s="221">
        <f>'приложение 4'!R148</f>
        <v>0</v>
      </c>
    </row>
    <row r="255" spans="1:7" ht="31.5">
      <c r="A255" s="297" t="s">
        <v>275</v>
      </c>
      <c r="B255" s="323" t="s">
        <v>837</v>
      </c>
      <c r="C255" s="324"/>
      <c r="D255" s="324"/>
      <c r="E255" s="323"/>
      <c r="F255" s="221">
        <f>F256+F257</f>
        <v>105.6</v>
      </c>
      <c r="G255" s="221">
        <f>G256+G257</f>
        <v>105.6</v>
      </c>
    </row>
    <row r="256" spans="1:7" ht="31.5">
      <c r="A256" s="294" t="s">
        <v>277</v>
      </c>
      <c r="B256" s="323" t="s">
        <v>837</v>
      </c>
      <c r="C256" s="324" t="s">
        <v>718</v>
      </c>
      <c r="D256" s="324" t="s">
        <v>391</v>
      </c>
      <c r="E256" s="323">
        <v>240</v>
      </c>
      <c r="F256" s="221">
        <f>'приложение 4'!Q129</f>
        <v>23.1</v>
      </c>
      <c r="G256" s="221">
        <f>'приложение 4'!R129</f>
        <v>23.1</v>
      </c>
    </row>
    <row r="257" spans="1:7" ht="31.5">
      <c r="A257" s="294" t="s">
        <v>277</v>
      </c>
      <c r="B257" s="323" t="s">
        <v>837</v>
      </c>
      <c r="C257" s="324" t="s">
        <v>718</v>
      </c>
      <c r="D257" s="324" t="s">
        <v>105</v>
      </c>
      <c r="E257" s="323">
        <v>240</v>
      </c>
      <c r="F257" s="221">
        <f>'приложение 4'!Q150</f>
        <v>82.5</v>
      </c>
      <c r="G257" s="221">
        <f>'приложение 4'!R150</f>
        <v>82.5</v>
      </c>
    </row>
    <row r="258" spans="1:7" ht="31.5">
      <c r="A258" s="297" t="s">
        <v>532</v>
      </c>
      <c r="B258" s="323" t="s">
        <v>838</v>
      </c>
      <c r="C258" s="324"/>
      <c r="D258" s="324"/>
      <c r="E258" s="323"/>
      <c r="F258" s="221">
        <f>F259</f>
        <v>1.5</v>
      </c>
      <c r="G258" s="221">
        <f>G259</f>
        <v>1.5</v>
      </c>
    </row>
    <row r="259" spans="1:7" ht="15.75">
      <c r="A259" s="296" t="s">
        <v>459</v>
      </c>
      <c r="B259" s="323" t="s">
        <v>839</v>
      </c>
      <c r="C259" s="324"/>
      <c r="D259" s="324"/>
      <c r="E259" s="323"/>
      <c r="F259" s="221">
        <f>F260+F261</f>
        <v>1.5</v>
      </c>
      <c r="G259" s="221">
        <f>G260+G261</f>
        <v>1.5</v>
      </c>
    </row>
    <row r="260" spans="1:7" ht="31.5" hidden="1">
      <c r="A260" s="294" t="s">
        <v>277</v>
      </c>
      <c r="B260" s="323" t="s">
        <v>839</v>
      </c>
      <c r="C260" s="324" t="s">
        <v>718</v>
      </c>
      <c r="D260" s="324" t="s">
        <v>105</v>
      </c>
      <c r="E260" s="323">
        <v>240</v>
      </c>
      <c r="F260" s="344">
        <f>'приложение 4'!Q153</f>
        <v>0</v>
      </c>
      <c r="G260" s="221">
        <f>'приложение 4'!R153</f>
        <v>0</v>
      </c>
    </row>
    <row r="261" spans="1:7" ht="15.75">
      <c r="A261" s="297" t="s">
        <v>278</v>
      </c>
      <c r="B261" s="323" t="s">
        <v>839</v>
      </c>
      <c r="C261" s="324" t="s">
        <v>718</v>
      </c>
      <c r="D261" s="324" t="s">
        <v>105</v>
      </c>
      <c r="E261" s="323">
        <v>850</v>
      </c>
      <c r="F261" s="221">
        <f>'приложение 4'!Q154</f>
        <v>1.5</v>
      </c>
      <c r="G261" s="221">
        <f>'приложение 4'!R154</f>
        <v>1.5</v>
      </c>
    </row>
    <row r="262" spans="1:7" ht="31.5">
      <c r="A262" s="297" t="s">
        <v>375</v>
      </c>
      <c r="B262" s="323" t="s">
        <v>840</v>
      </c>
      <c r="C262" s="324"/>
      <c r="D262" s="324"/>
      <c r="E262" s="323"/>
      <c r="F262" s="221">
        <f>F263</f>
        <v>50</v>
      </c>
      <c r="G262" s="221">
        <f>G263</f>
        <v>50</v>
      </c>
    </row>
    <row r="263" spans="1:7" ht="31.5">
      <c r="A263" s="297" t="s">
        <v>376</v>
      </c>
      <c r="B263" s="323" t="s">
        <v>841</v>
      </c>
      <c r="C263" s="324"/>
      <c r="D263" s="324"/>
      <c r="E263" s="323"/>
      <c r="F263" s="221">
        <f>F264</f>
        <v>50</v>
      </c>
      <c r="G263" s="221">
        <f>G264</f>
        <v>50</v>
      </c>
    </row>
    <row r="264" spans="1:7" ht="63">
      <c r="A264" s="297" t="s">
        <v>377</v>
      </c>
      <c r="B264" s="323" t="s">
        <v>842</v>
      </c>
      <c r="C264" s="324"/>
      <c r="D264" s="324"/>
      <c r="E264" s="323"/>
      <c r="F264" s="221">
        <f>F265+F266</f>
        <v>50</v>
      </c>
      <c r="G264" s="221">
        <f>G265+G266</f>
        <v>50</v>
      </c>
    </row>
    <row r="265" spans="1:7" ht="31.5" hidden="1">
      <c r="A265" s="294" t="s">
        <v>277</v>
      </c>
      <c r="B265" s="323" t="s">
        <v>842</v>
      </c>
      <c r="C265" s="324" t="s">
        <v>718</v>
      </c>
      <c r="D265" s="324" t="s">
        <v>105</v>
      </c>
      <c r="E265" s="323">
        <v>240</v>
      </c>
      <c r="F265" s="344">
        <f>'приложение 4'!Q158</f>
        <v>0</v>
      </c>
      <c r="G265" s="221">
        <f>'приложение 4'!R158</f>
        <v>0</v>
      </c>
    </row>
    <row r="266" spans="1:7" ht="15.75">
      <c r="A266" s="297" t="s">
        <v>279</v>
      </c>
      <c r="B266" s="323" t="s">
        <v>842</v>
      </c>
      <c r="C266" s="324" t="s">
        <v>718</v>
      </c>
      <c r="D266" s="324" t="s">
        <v>174</v>
      </c>
      <c r="E266" s="323">
        <v>610</v>
      </c>
      <c r="F266" s="221">
        <f>'приложение 4'!Q381</f>
        <v>50</v>
      </c>
      <c r="G266" s="221">
        <f>'приложение 4'!R381</f>
        <v>50</v>
      </c>
    </row>
    <row r="267" spans="1:7" ht="47.25">
      <c r="A267" s="297" t="s">
        <v>374</v>
      </c>
      <c r="B267" s="323" t="s">
        <v>843</v>
      </c>
      <c r="C267" s="324"/>
      <c r="D267" s="324"/>
      <c r="E267" s="323"/>
      <c r="F267" s="221">
        <f>F268+F271</f>
        <v>15</v>
      </c>
      <c r="G267" s="221">
        <f>G268+G271</f>
        <v>15</v>
      </c>
    </row>
    <row r="268" spans="1:7" ht="47.25" hidden="1">
      <c r="A268" s="296" t="s">
        <v>373</v>
      </c>
      <c r="B268" s="323" t="s">
        <v>844</v>
      </c>
      <c r="C268" s="324"/>
      <c r="D268" s="324"/>
      <c r="E268" s="323"/>
      <c r="F268" s="344">
        <f>F269</f>
        <v>0</v>
      </c>
      <c r="G268" s="221">
        <f>G269</f>
        <v>0</v>
      </c>
    </row>
    <row r="269" spans="1:7" ht="15.75" hidden="1">
      <c r="A269" s="297" t="s">
        <v>372</v>
      </c>
      <c r="B269" s="323" t="s">
        <v>845</v>
      </c>
      <c r="C269" s="324"/>
      <c r="D269" s="324"/>
      <c r="E269" s="323"/>
      <c r="F269" s="344">
        <f>F270</f>
        <v>0</v>
      </c>
      <c r="G269" s="221">
        <f>G270</f>
        <v>0</v>
      </c>
    </row>
    <row r="270" spans="1:7" ht="31.5" hidden="1">
      <c r="A270" s="294" t="s">
        <v>277</v>
      </c>
      <c r="B270" s="323" t="s">
        <v>845</v>
      </c>
      <c r="C270" s="324" t="s">
        <v>718</v>
      </c>
      <c r="D270" s="324" t="s">
        <v>105</v>
      </c>
      <c r="E270" s="323">
        <v>240</v>
      </c>
      <c r="F270" s="344">
        <f>'приложение 4'!Q162</f>
        <v>0</v>
      </c>
      <c r="G270" s="221">
        <f>'приложение 4'!R162</f>
        <v>0</v>
      </c>
    </row>
    <row r="271" spans="1:7" ht="47.25">
      <c r="A271" s="296" t="s">
        <v>533</v>
      </c>
      <c r="B271" s="323" t="s">
        <v>846</v>
      </c>
      <c r="C271" s="324"/>
      <c r="D271" s="324"/>
      <c r="E271" s="323"/>
      <c r="F271" s="221">
        <f>F272</f>
        <v>15</v>
      </c>
      <c r="G271" s="221">
        <f>G272</f>
        <v>15</v>
      </c>
    </row>
    <row r="272" spans="1:7" ht="15.75">
      <c r="A272" s="297" t="s">
        <v>534</v>
      </c>
      <c r="B272" s="323" t="s">
        <v>847</v>
      </c>
      <c r="C272" s="324"/>
      <c r="D272" s="324"/>
      <c r="E272" s="323"/>
      <c r="F272" s="221">
        <f>F273</f>
        <v>15</v>
      </c>
      <c r="G272" s="221">
        <f>G273</f>
        <v>15</v>
      </c>
    </row>
    <row r="273" spans="1:7" ht="31.5">
      <c r="A273" s="294" t="s">
        <v>277</v>
      </c>
      <c r="B273" s="323" t="s">
        <v>847</v>
      </c>
      <c r="C273" s="324" t="s">
        <v>718</v>
      </c>
      <c r="D273" s="324" t="s">
        <v>105</v>
      </c>
      <c r="E273" s="323">
        <v>240</v>
      </c>
      <c r="F273" s="221">
        <f>'приложение 4'!Q165</f>
        <v>15</v>
      </c>
      <c r="G273" s="221">
        <f>'приложение 4'!R165</f>
        <v>15</v>
      </c>
    </row>
    <row r="274" spans="1:7" ht="31.5">
      <c r="A274" s="338" t="s">
        <v>525</v>
      </c>
      <c r="B274" s="323" t="s">
        <v>848</v>
      </c>
      <c r="C274" s="324"/>
      <c r="D274" s="324"/>
      <c r="E274" s="323"/>
      <c r="F274" s="221">
        <f>F275+F288+F282</f>
        <v>4521.4</v>
      </c>
      <c r="G274" s="221">
        <f>G275+G288+G282</f>
        <v>4066.2</v>
      </c>
    </row>
    <row r="275" spans="1:7" ht="31.5">
      <c r="A275" s="297" t="s">
        <v>526</v>
      </c>
      <c r="B275" s="323" t="s">
        <v>849</v>
      </c>
      <c r="C275" s="324"/>
      <c r="D275" s="324"/>
      <c r="E275" s="323"/>
      <c r="F275" s="221">
        <f>F276+F280</f>
        <v>3126.6</v>
      </c>
      <c r="G275" s="221">
        <f>G276+G280</f>
        <v>3104.9</v>
      </c>
    </row>
    <row r="276" spans="1:7" ht="15.75">
      <c r="A276" s="297" t="s">
        <v>65</v>
      </c>
      <c r="B276" s="323" t="s">
        <v>850</v>
      </c>
      <c r="C276" s="324"/>
      <c r="D276" s="324"/>
      <c r="E276" s="323"/>
      <c r="F276" s="221">
        <f>F277+F278+F279</f>
        <v>2586.7</v>
      </c>
      <c r="G276" s="221">
        <f>G277+G278+G279</f>
        <v>2565</v>
      </c>
    </row>
    <row r="277" spans="1:7" ht="15.75">
      <c r="A277" s="297" t="s">
        <v>280</v>
      </c>
      <c r="B277" s="323" t="s">
        <v>850</v>
      </c>
      <c r="C277" s="324" t="s">
        <v>718</v>
      </c>
      <c r="D277" s="324" t="s">
        <v>391</v>
      </c>
      <c r="E277" s="323">
        <v>110</v>
      </c>
      <c r="F277" s="221">
        <f>'приложение 4'!Q133</f>
        <v>2161.5</v>
      </c>
      <c r="G277" s="221">
        <f>'приложение 4'!R133</f>
        <v>2155.2</v>
      </c>
    </row>
    <row r="278" spans="1:7" ht="31.5">
      <c r="A278" s="294" t="s">
        <v>277</v>
      </c>
      <c r="B278" s="323" t="s">
        <v>850</v>
      </c>
      <c r="C278" s="324" t="s">
        <v>718</v>
      </c>
      <c r="D278" s="324" t="s">
        <v>391</v>
      </c>
      <c r="E278" s="323">
        <v>240</v>
      </c>
      <c r="F278" s="221">
        <f>'приложение 4'!Q134</f>
        <v>425</v>
      </c>
      <c r="G278" s="221">
        <f>'приложение 4'!R134</f>
        <v>409.8</v>
      </c>
    </row>
    <row r="279" spans="1:7" ht="15.75">
      <c r="A279" s="297" t="s">
        <v>278</v>
      </c>
      <c r="B279" s="323" t="s">
        <v>850</v>
      </c>
      <c r="C279" s="324" t="s">
        <v>718</v>
      </c>
      <c r="D279" s="324" t="s">
        <v>391</v>
      </c>
      <c r="E279" s="323">
        <v>850</v>
      </c>
      <c r="F279" s="221">
        <f>'приложение 4'!Q135</f>
        <v>0.2</v>
      </c>
      <c r="G279" s="221">
        <f>'приложение 4'!R135</f>
        <v>0</v>
      </c>
    </row>
    <row r="280" spans="1:7" ht="31.5">
      <c r="A280" s="297" t="s">
        <v>353</v>
      </c>
      <c r="B280" s="323" t="s">
        <v>851</v>
      </c>
      <c r="C280" s="324"/>
      <c r="D280" s="324"/>
      <c r="E280" s="323"/>
      <c r="F280" s="221">
        <f>F281</f>
        <v>539.9</v>
      </c>
      <c r="G280" s="221">
        <f>G281</f>
        <v>539.9</v>
      </c>
    </row>
    <row r="281" spans="1:7" s="194" customFormat="1" ht="15.75">
      <c r="A281" s="297" t="s">
        <v>280</v>
      </c>
      <c r="B281" s="323" t="s">
        <v>851</v>
      </c>
      <c r="C281" s="324" t="s">
        <v>718</v>
      </c>
      <c r="D281" s="324" t="s">
        <v>391</v>
      </c>
      <c r="E281" s="323">
        <v>110</v>
      </c>
      <c r="F281" s="221">
        <f>'приложение 4'!Q137</f>
        <v>539.9</v>
      </c>
      <c r="G281" s="221">
        <f>'приложение 4'!R137</f>
        <v>539.9</v>
      </c>
    </row>
    <row r="282" spans="1:7" ht="31.5">
      <c r="A282" s="297" t="s">
        <v>635</v>
      </c>
      <c r="B282" s="323" t="s">
        <v>852</v>
      </c>
      <c r="C282" s="324"/>
      <c r="D282" s="324"/>
      <c r="E282" s="323"/>
      <c r="F282" s="221">
        <f>F283</f>
        <v>894.8</v>
      </c>
      <c r="G282" s="221">
        <f>G283</f>
        <v>544.8</v>
      </c>
    </row>
    <row r="283" spans="1:7" ht="15.75">
      <c r="A283" s="297" t="s">
        <v>636</v>
      </c>
      <c r="B283" s="323" t="s">
        <v>853</v>
      </c>
      <c r="C283" s="327"/>
      <c r="D283" s="327"/>
      <c r="E283" s="327"/>
      <c r="F283" s="221">
        <f>F284+F286+F287+F285</f>
        <v>894.8</v>
      </c>
      <c r="G283" s="221">
        <f>G284+G286+G287+G285</f>
        <v>544.8</v>
      </c>
    </row>
    <row r="284" spans="1:7" ht="31.5">
      <c r="A284" s="297" t="str">
        <f>A286</f>
        <v>Иные закупки товаров, работ и услуг для обеспечения государственных (муниципальных) нужд</v>
      </c>
      <c r="B284" s="323" t="s">
        <v>853</v>
      </c>
      <c r="C284" s="328">
        <v>669</v>
      </c>
      <c r="D284" s="324" t="s">
        <v>854</v>
      </c>
      <c r="E284" s="329" t="s">
        <v>430</v>
      </c>
      <c r="F284" s="221">
        <f>'приложение 4'!Q489</f>
        <v>400</v>
      </c>
      <c r="G284" s="221">
        <f>'приложение 4'!R489</f>
        <v>50</v>
      </c>
    </row>
    <row r="285" spans="1:7" ht="15.75">
      <c r="A285" s="303" t="s">
        <v>279</v>
      </c>
      <c r="B285" s="323" t="s">
        <v>853</v>
      </c>
      <c r="C285" s="328">
        <v>669</v>
      </c>
      <c r="D285" s="324" t="s">
        <v>854</v>
      </c>
      <c r="E285" s="329" t="s">
        <v>1008</v>
      </c>
      <c r="F285" s="221">
        <f>'приложение 4'!Q490</f>
        <v>143</v>
      </c>
      <c r="G285" s="221">
        <f>'приложение 4'!R490</f>
        <v>143</v>
      </c>
    </row>
    <row r="286" spans="1:7" ht="31.5">
      <c r="A286" s="297" t="str">
        <f>A290</f>
        <v>Иные закупки товаров, работ и услуг для обеспечения государственных (муниципальных) нужд</v>
      </c>
      <c r="B286" s="323" t="s">
        <v>853</v>
      </c>
      <c r="C286" s="324" t="s">
        <v>698</v>
      </c>
      <c r="D286" s="324" t="s">
        <v>854</v>
      </c>
      <c r="E286" s="323">
        <v>240</v>
      </c>
      <c r="F286" s="221">
        <f>'приложение 4'!Q835</f>
        <v>101.8</v>
      </c>
      <c r="G286" s="221">
        <f>'приложение 4'!R835</f>
        <v>101.8</v>
      </c>
    </row>
    <row r="287" spans="1:7" ht="31.5">
      <c r="A287" s="297" t="str">
        <f>A286</f>
        <v>Иные закупки товаров, работ и услуг для обеспечения государственных (муниципальных) нужд</v>
      </c>
      <c r="B287" s="323" t="s">
        <v>853</v>
      </c>
      <c r="C287" s="324" t="s">
        <v>855</v>
      </c>
      <c r="D287" s="324" t="s">
        <v>854</v>
      </c>
      <c r="E287" s="323">
        <v>240</v>
      </c>
      <c r="F287" s="221">
        <f>'приложение 4'!Q917</f>
        <v>250</v>
      </c>
      <c r="G287" s="221">
        <f>'приложение 4'!R917</f>
        <v>250</v>
      </c>
    </row>
    <row r="288" spans="1:7" ht="47.25">
      <c r="A288" s="297" t="s">
        <v>520</v>
      </c>
      <c r="B288" s="323" t="s">
        <v>856</v>
      </c>
      <c r="C288" s="324"/>
      <c r="D288" s="324"/>
      <c r="E288" s="323"/>
      <c r="F288" s="221">
        <f>F289</f>
        <v>500</v>
      </c>
      <c r="G288" s="221">
        <f>G289</f>
        <v>416.5</v>
      </c>
    </row>
    <row r="289" spans="1:7" ht="15.75">
      <c r="A289" s="297" t="s">
        <v>34</v>
      </c>
      <c r="B289" s="323" t="s">
        <v>857</v>
      </c>
      <c r="C289" s="324"/>
      <c r="D289" s="324"/>
      <c r="E289" s="323"/>
      <c r="F289" s="221">
        <f>F290</f>
        <v>500</v>
      </c>
      <c r="G289" s="221">
        <f>G290</f>
        <v>416.5</v>
      </c>
    </row>
    <row r="290" spans="1:7" ht="31.5">
      <c r="A290" s="294" t="s">
        <v>277</v>
      </c>
      <c r="B290" s="323" t="s">
        <v>857</v>
      </c>
      <c r="C290" s="324" t="s">
        <v>718</v>
      </c>
      <c r="D290" s="324" t="s">
        <v>88</v>
      </c>
      <c r="E290" s="323">
        <v>240</v>
      </c>
      <c r="F290" s="221">
        <f>'приложение 4'!Q99</f>
        <v>500</v>
      </c>
      <c r="G290" s="221">
        <f>'приложение 4'!R99</f>
        <v>416.5</v>
      </c>
    </row>
    <row r="291" spans="1:7" ht="15.75">
      <c r="A291" s="307" t="s">
        <v>600</v>
      </c>
      <c r="B291" s="321" t="s">
        <v>858</v>
      </c>
      <c r="C291" s="322"/>
      <c r="D291" s="322"/>
      <c r="E291" s="321"/>
      <c r="F291" s="220">
        <f>F292+F296+F300+F304</f>
        <v>1332.9</v>
      </c>
      <c r="G291" s="220">
        <f>G292+G296+G300+G304</f>
        <v>1332.9</v>
      </c>
    </row>
    <row r="292" spans="1:7" ht="31.5">
      <c r="A292" s="296" t="s">
        <v>259</v>
      </c>
      <c r="B292" s="323" t="s">
        <v>859</v>
      </c>
      <c r="C292" s="324"/>
      <c r="D292" s="324"/>
      <c r="E292" s="323"/>
      <c r="F292" s="221">
        <f>F293</f>
        <v>180</v>
      </c>
      <c r="G292" s="221">
        <f>G293</f>
        <v>180</v>
      </c>
    </row>
    <row r="293" spans="1:7" ht="15.75">
      <c r="A293" s="299" t="s">
        <v>423</v>
      </c>
      <c r="B293" s="323" t="s">
        <v>860</v>
      </c>
      <c r="C293" s="324"/>
      <c r="D293" s="324"/>
      <c r="E293" s="323"/>
      <c r="F293" s="221">
        <f>F294+F295</f>
        <v>180</v>
      </c>
      <c r="G293" s="221">
        <f>G294+G295</f>
        <v>180</v>
      </c>
    </row>
    <row r="294" spans="1:7" ht="31.5" hidden="1">
      <c r="A294" s="294" t="s">
        <v>277</v>
      </c>
      <c r="B294" s="323" t="s">
        <v>860</v>
      </c>
      <c r="C294" s="324" t="s">
        <v>718</v>
      </c>
      <c r="D294" s="324" t="s">
        <v>151</v>
      </c>
      <c r="E294" s="323">
        <v>240</v>
      </c>
      <c r="F294" s="344">
        <f>'приложение 4'!Q344</f>
        <v>0</v>
      </c>
      <c r="G294" s="221">
        <f>'приложение 4'!R344</f>
        <v>0</v>
      </c>
    </row>
    <row r="295" spans="1:7" ht="15.75">
      <c r="A295" s="296" t="str">
        <f>A244</f>
        <v>Субсидии бюджетным учреждениям</v>
      </c>
      <c r="B295" s="323" t="s">
        <v>860</v>
      </c>
      <c r="C295" s="324" t="s">
        <v>718</v>
      </c>
      <c r="D295" s="324" t="s">
        <v>151</v>
      </c>
      <c r="E295" s="323">
        <v>610</v>
      </c>
      <c r="F295" s="221">
        <f>'приложение 4'!Q345</f>
        <v>180</v>
      </c>
      <c r="G295" s="221">
        <f>'приложение 4'!R345</f>
        <v>180</v>
      </c>
    </row>
    <row r="296" spans="1:7" ht="47.25">
      <c r="A296" s="296" t="s">
        <v>260</v>
      </c>
      <c r="B296" s="323" t="s">
        <v>861</v>
      </c>
      <c r="C296" s="324"/>
      <c r="D296" s="324"/>
      <c r="E296" s="323"/>
      <c r="F296" s="221">
        <f>F297</f>
        <v>60</v>
      </c>
      <c r="G296" s="221">
        <f>G297</f>
        <v>60</v>
      </c>
    </row>
    <row r="297" spans="1:7" ht="15.75">
      <c r="A297" s="299" t="s">
        <v>423</v>
      </c>
      <c r="B297" s="323" t="s">
        <v>862</v>
      </c>
      <c r="C297" s="324"/>
      <c r="D297" s="324"/>
      <c r="E297" s="323"/>
      <c r="F297" s="221">
        <f>F298+F299</f>
        <v>60</v>
      </c>
      <c r="G297" s="221">
        <f>G298+G299</f>
        <v>60</v>
      </c>
    </row>
    <row r="298" spans="1:7" ht="31.5" hidden="1">
      <c r="A298" s="294" t="s">
        <v>277</v>
      </c>
      <c r="B298" s="323" t="s">
        <v>862</v>
      </c>
      <c r="C298" s="324" t="s">
        <v>718</v>
      </c>
      <c r="D298" s="324" t="s">
        <v>151</v>
      </c>
      <c r="E298" s="323">
        <v>240</v>
      </c>
      <c r="F298" s="344">
        <f>'приложение 4'!Q348</f>
        <v>0</v>
      </c>
      <c r="G298" s="221">
        <f>'приложение 4'!R348</f>
        <v>0</v>
      </c>
    </row>
    <row r="299" spans="1:7" ht="15.75">
      <c r="A299" s="297" t="str">
        <f>A295</f>
        <v>Субсидии бюджетным учреждениям</v>
      </c>
      <c r="B299" s="323" t="s">
        <v>862</v>
      </c>
      <c r="C299" s="324" t="s">
        <v>718</v>
      </c>
      <c r="D299" s="324" t="s">
        <v>151</v>
      </c>
      <c r="E299" s="323">
        <v>610</v>
      </c>
      <c r="F299" s="221">
        <f>'приложение 4'!Q349</f>
        <v>60</v>
      </c>
      <c r="G299" s="221">
        <f>'приложение 4'!R349</f>
        <v>60</v>
      </c>
    </row>
    <row r="300" spans="1:7" ht="31.5">
      <c r="A300" s="297" t="s">
        <v>602</v>
      </c>
      <c r="B300" s="323" t="s">
        <v>863</v>
      </c>
      <c r="C300" s="324"/>
      <c r="D300" s="324"/>
      <c r="E300" s="323"/>
      <c r="F300" s="221">
        <f>F301</f>
        <v>100</v>
      </c>
      <c r="G300" s="221">
        <f>G301</f>
        <v>100</v>
      </c>
    </row>
    <row r="301" spans="1:7" ht="15.75">
      <c r="A301" s="299" t="s">
        <v>423</v>
      </c>
      <c r="B301" s="323" t="s">
        <v>864</v>
      </c>
      <c r="C301" s="324"/>
      <c r="D301" s="324"/>
      <c r="E301" s="323"/>
      <c r="F301" s="221">
        <f>F302+F303</f>
        <v>100</v>
      </c>
      <c r="G301" s="221">
        <f>G302+G303</f>
        <v>100</v>
      </c>
    </row>
    <row r="302" spans="1:7" ht="31.5" hidden="1">
      <c r="A302" s="294" t="s">
        <v>277</v>
      </c>
      <c r="B302" s="323" t="s">
        <v>864</v>
      </c>
      <c r="C302" s="324" t="s">
        <v>718</v>
      </c>
      <c r="D302" s="324" t="s">
        <v>151</v>
      </c>
      <c r="E302" s="323">
        <v>240</v>
      </c>
      <c r="F302" s="344">
        <f>'приложение 4'!Q352</f>
        <v>0</v>
      </c>
      <c r="G302" s="221">
        <f>'приложение 4'!R352</f>
        <v>0</v>
      </c>
    </row>
    <row r="303" spans="1:7" ht="15.75">
      <c r="A303" s="294" t="str">
        <f>A299</f>
        <v>Субсидии бюджетным учреждениям</v>
      </c>
      <c r="B303" s="323" t="s">
        <v>864</v>
      </c>
      <c r="C303" s="324" t="s">
        <v>718</v>
      </c>
      <c r="D303" s="324" t="s">
        <v>151</v>
      </c>
      <c r="E303" s="323">
        <v>610</v>
      </c>
      <c r="F303" s="221">
        <f>'приложение 4'!Q353</f>
        <v>100</v>
      </c>
      <c r="G303" s="221">
        <f>'приложение 4'!R353</f>
        <v>100</v>
      </c>
    </row>
    <row r="304" spans="1:7" ht="15.75">
      <c r="A304" s="334" t="s">
        <v>613</v>
      </c>
      <c r="B304" s="323" t="s">
        <v>865</v>
      </c>
      <c r="C304" s="324"/>
      <c r="D304" s="324"/>
      <c r="E304" s="323"/>
      <c r="F304" s="221">
        <f>F305</f>
        <v>992.9000000000001</v>
      </c>
      <c r="G304" s="221">
        <f>G305</f>
        <v>992.9</v>
      </c>
    </row>
    <row r="305" spans="1:7" ht="15.75">
      <c r="A305" s="334" t="s">
        <v>265</v>
      </c>
      <c r="B305" s="323" t="s">
        <v>866</v>
      </c>
      <c r="C305" s="324"/>
      <c r="D305" s="324"/>
      <c r="E305" s="323"/>
      <c r="F305" s="221">
        <f>F306</f>
        <v>992.9000000000001</v>
      </c>
      <c r="G305" s="221">
        <f>G306</f>
        <v>992.9</v>
      </c>
    </row>
    <row r="306" spans="1:7" ht="31.5">
      <c r="A306" s="334" t="s">
        <v>282</v>
      </c>
      <c r="B306" s="323" t="s">
        <v>866</v>
      </c>
      <c r="C306" s="324" t="s">
        <v>718</v>
      </c>
      <c r="D306" s="324" t="s">
        <v>90</v>
      </c>
      <c r="E306" s="323">
        <v>320</v>
      </c>
      <c r="F306" s="221">
        <f>'приложение 4'!Q408</f>
        <v>992.9000000000001</v>
      </c>
      <c r="G306" s="221">
        <f>'приложение 4'!R408</f>
        <v>992.9</v>
      </c>
    </row>
    <row r="307" spans="1:7" ht="47.25">
      <c r="A307" s="309" t="s">
        <v>682</v>
      </c>
      <c r="B307" s="321" t="s">
        <v>867</v>
      </c>
      <c r="C307" s="322"/>
      <c r="D307" s="322"/>
      <c r="E307" s="321"/>
      <c r="F307" s="220">
        <f>F308+F311</f>
        <v>130</v>
      </c>
      <c r="G307" s="220">
        <f>G308+G311</f>
        <v>129</v>
      </c>
    </row>
    <row r="308" spans="1:7" ht="31.5">
      <c r="A308" s="301" t="s">
        <v>690</v>
      </c>
      <c r="B308" s="323" t="s">
        <v>868</v>
      </c>
      <c r="C308" s="324"/>
      <c r="D308" s="324"/>
      <c r="E308" s="323"/>
      <c r="F308" s="221">
        <f>F309</f>
        <v>45.9</v>
      </c>
      <c r="G308" s="221">
        <f>G309</f>
        <v>44.9</v>
      </c>
    </row>
    <row r="309" spans="1:7" s="194" customFormat="1" ht="15.75">
      <c r="A309" s="301" t="s">
        <v>369</v>
      </c>
      <c r="B309" s="323" t="s">
        <v>869</v>
      </c>
      <c r="C309" s="324"/>
      <c r="D309" s="324"/>
      <c r="E309" s="323"/>
      <c r="F309" s="221">
        <f>F310</f>
        <v>45.9</v>
      </c>
      <c r="G309" s="221">
        <f>G310</f>
        <v>44.9</v>
      </c>
    </row>
    <row r="310" spans="1:7" ht="31.5">
      <c r="A310" s="294" t="s">
        <v>277</v>
      </c>
      <c r="B310" s="323" t="s">
        <v>869</v>
      </c>
      <c r="C310" s="324" t="s">
        <v>706</v>
      </c>
      <c r="D310" s="324" t="s">
        <v>94</v>
      </c>
      <c r="E310" s="323">
        <v>240</v>
      </c>
      <c r="F310" s="221">
        <f>'приложение 4'!Q796</f>
        <v>45.9</v>
      </c>
      <c r="G310" s="221">
        <f>'приложение 4'!R796</f>
        <v>44.9</v>
      </c>
    </row>
    <row r="311" spans="1:7" ht="47.25">
      <c r="A311" s="301" t="s">
        <v>370</v>
      </c>
      <c r="B311" s="323" t="s">
        <v>870</v>
      </c>
      <c r="C311" s="324"/>
      <c r="D311" s="324"/>
      <c r="E311" s="323"/>
      <c r="F311" s="221">
        <f>F312</f>
        <v>84.1</v>
      </c>
      <c r="G311" s="221">
        <f>G312</f>
        <v>84.1</v>
      </c>
    </row>
    <row r="312" spans="1:7" ht="15.75">
      <c r="A312" s="301" t="s">
        <v>371</v>
      </c>
      <c r="B312" s="323" t="s">
        <v>871</v>
      </c>
      <c r="C312" s="324"/>
      <c r="D312" s="324"/>
      <c r="E312" s="323"/>
      <c r="F312" s="221">
        <f>F313+F314</f>
        <v>84.1</v>
      </c>
      <c r="G312" s="221">
        <f>G313+G314</f>
        <v>84.1</v>
      </c>
    </row>
    <row r="313" spans="1:7" ht="15.75">
      <c r="A313" s="294" t="s">
        <v>279</v>
      </c>
      <c r="B313" s="323" t="s">
        <v>871</v>
      </c>
      <c r="C313" s="324" t="s">
        <v>706</v>
      </c>
      <c r="D313" s="324" t="s">
        <v>96</v>
      </c>
      <c r="E313" s="323">
        <v>610</v>
      </c>
      <c r="F313" s="221">
        <f>'приложение 4'!Q721</f>
        <v>17.9</v>
      </c>
      <c r="G313" s="221">
        <f>'приложение 4'!R721</f>
        <v>17.9</v>
      </c>
    </row>
    <row r="314" spans="1:7" ht="31.5">
      <c r="A314" s="294" t="s">
        <v>277</v>
      </c>
      <c r="B314" s="323" t="s">
        <v>871</v>
      </c>
      <c r="C314" s="324" t="s">
        <v>706</v>
      </c>
      <c r="D314" s="324" t="s">
        <v>94</v>
      </c>
      <c r="E314" s="323">
        <v>240</v>
      </c>
      <c r="F314" s="221">
        <f>'приложение 4'!Q799</f>
        <v>66.19999999999999</v>
      </c>
      <c r="G314" s="221">
        <f>'приложение 4'!R799</f>
        <v>66.2</v>
      </c>
    </row>
    <row r="315" spans="1:7" ht="31.5">
      <c r="A315" s="307" t="s">
        <v>543</v>
      </c>
      <c r="B315" s="321" t="s">
        <v>872</v>
      </c>
      <c r="C315" s="322"/>
      <c r="D315" s="322"/>
      <c r="E315" s="321"/>
      <c r="F315" s="220">
        <f>F316+F322</f>
        <v>396.2</v>
      </c>
      <c r="G315" s="220">
        <f>G316+G322</f>
        <v>396.2</v>
      </c>
    </row>
    <row r="316" spans="1:7" ht="31.5">
      <c r="A316" s="334" t="s">
        <v>545</v>
      </c>
      <c r="B316" s="323" t="s">
        <v>873</v>
      </c>
      <c r="C316" s="324"/>
      <c r="D316" s="324"/>
      <c r="E316" s="323"/>
      <c r="F316" s="221">
        <f>F317+F320</f>
        <v>366.4</v>
      </c>
      <c r="G316" s="221">
        <f>G317+G320</f>
        <v>366.4</v>
      </c>
    </row>
    <row r="317" spans="1:7" ht="31.5">
      <c r="A317" s="334" t="s">
        <v>5</v>
      </c>
      <c r="B317" s="323" t="s">
        <v>874</v>
      </c>
      <c r="C317" s="324"/>
      <c r="D317" s="324"/>
      <c r="E317" s="323"/>
      <c r="F317" s="221">
        <f>F318+F319</f>
        <v>10</v>
      </c>
      <c r="G317" s="221">
        <f>G318+G319</f>
        <v>10</v>
      </c>
    </row>
    <row r="318" spans="1:7" ht="31.5">
      <c r="A318" s="294" t="s">
        <v>277</v>
      </c>
      <c r="B318" s="323" t="s">
        <v>874</v>
      </c>
      <c r="C318" s="324" t="s">
        <v>718</v>
      </c>
      <c r="D318" s="324" t="s">
        <v>98</v>
      </c>
      <c r="E318" s="323">
        <v>240</v>
      </c>
      <c r="F318" s="221">
        <f>'приложение 4'!Q217</f>
        <v>10</v>
      </c>
      <c r="G318" s="221">
        <f>'приложение 4'!R217</f>
        <v>10</v>
      </c>
    </row>
    <row r="319" spans="1:7" ht="47.25" hidden="1">
      <c r="A319" s="294" t="s">
        <v>340</v>
      </c>
      <c r="B319" s="323" t="s">
        <v>874</v>
      </c>
      <c r="C319" s="324" t="s">
        <v>718</v>
      </c>
      <c r="D319" s="324" t="s">
        <v>98</v>
      </c>
      <c r="E319" s="323">
        <v>810</v>
      </c>
      <c r="F319" s="344">
        <f>'приложение 4'!Q218</f>
        <v>0</v>
      </c>
      <c r="G319" s="221">
        <f>'приложение 4'!R218</f>
        <v>0</v>
      </c>
    </row>
    <row r="320" spans="1:7" ht="31.5">
      <c r="A320" s="294" t="s">
        <v>339</v>
      </c>
      <c r="B320" s="323" t="s">
        <v>875</v>
      </c>
      <c r="C320" s="324"/>
      <c r="D320" s="324"/>
      <c r="E320" s="323"/>
      <c r="F320" s="221">
        <f>F321</f>
        <v>356.4</v>
      </c>
      <c r="G320" s="221">
        <f>G321</f>
        <v>356.4</v>
      </c>
    </row>
    <row r="321" spans="1:7" ht="47.25">
      <c r="A321" s="294" t="s">
        <v>340</v>
      </c>
      <c r="B321" s="323" t="s">
        <v>875</v>
      </c>
      <c r="C321" s="324" t="s">
        <v>718</v>
      </c>
      <c r="D321" s="324" t="s">
        <v>98</v>
      </c>
      <c r="E321" s="323">
        <v>810</v>
      </c>
      <c r="F321" s="221">
        <f>'приложение 4'!Q220</f>
        <v>356.4</v>
      </c>
      <c r="G321" s="221">
        <f>'приложение 4'!R220</f>
        <v>356.4</v>
      </c>
    </row>
    <row r="322" spans="1:7" ht="31.5">
      <c r="A322" s="294" t="s">
        <v>546</v>
      </c>
      <c r="B322" s="323" t="s">
        <v>876</v>
      </c>
      <c r="C322" s="324"/>
      <c r="D322" s="324"/>
      <c r="E322" s="323"/>
      <c r="F322" s="221">
        <f>F323</f>
        <v>29.799999999999997</v>
      </c>
      <c r="G322" s="221">
        <f>G323</f>
        <v>29.8</v>
      </c>
    </row>
    <row r="323" spans="1:7" ht="31.5">
      <c r="A323" s="294" t="s">
        <v>7</v>
      </c>
      <c r="B323" s="323" t="s">
        <v>877</v>
      </c>
      <c r="C323" s="324"/>
      <c r="D323" s="324"/>
      <c r="E323" s="323"/>
      <c r="F323" s="221">
        <f>F324</f>
        <v>29.799999999999997</v>
      </c>
      <c r="G323" s="221">
        <f>G324</f>
        <v>29.8</v>
      </c>
    </row>
    <row r="324" spans="1:7" ht="31.5">
      <c r="A324" s="294" t="s">
        <v>277</v>
      </c>
      <c r="B324" s="323" t="s">
        <v>877</v>
      </c>
      <c r="C324" s="324" t="s">
        <v>718</v>
      </c>
      <c r="D324" s="324" t="s">
        <v>98</v>
      </c>
      <c r="E324" s="323">
        <v>240</v>
      </c>
      <c r="F324" s="221">
        <f>'приложение 4'!Q223</f>
        <v>29.799999999999997</v>
      </c>
      <c r="G324" s="221">
        <f>'приложение 4'!R223</f>
        <v>29.8</v>
      </c>
    </row>
    <row r="325" spans="1:7" ht="31.5">
      <c r="A325" s="307" t="s">
        <v>571</v>
      </c>
      <c r="B325" s="321" t="s">
        <v>878</v>
      </c>
      <c r="C325" s="322"/>
      <c r="D325" s="322"/>
      <c r="E325" s="321"/>
      <c r="F325" s="220">
        <f>F326</f>
        <v>6989.4</v>
      </c>
      <c r="G325" s="220">
        <f>G326</f>
        <v>6870.300000000001</v>
      </c>
    </row>
    <row r="326" spans="1:7" ht="47.25">
      <c r="A326" s="308" t="s">
        <v>388</v>
      </c>
      <c r="B326" s="323" t="s">
        <v>879</v>
      </c>
      <c r="C326" s="324"/>
      <c r="D326" s="324"/>
      <c r="E326" s="323"/>
      <c r="F326" s="221">
        <f>F327+F330+F336+F332+F334</f>
        <v>6989.4</v>
      </c>
      <c r="G326" s="221">
        <f>G327+G330+G336+G332+G334</f>
        <v>6870.300000000001</v>
      </c>
    </row>
    <row r="327" spans="1:7" s="194" customFormat="1" ht="15.75">
      <c r="A327" s="308" t="s">
        <v>574</v>
      </c>
      <c r="B327" s="323" t="s">
        <v>880</v>
      </c>
      <c r="C327" s="324"/>
      <c r="D327" s="324"/>
      <c r="E327" s="323"/>
      <c r="F327" s="221">
        <f>F328+F329</f>
        <v>380.59999999999997</v>
      </c>
      <c r="G327" s="221">
        <f>G328+G329</f>
        <v>363.5</v>
      </c>
    </row>
    <row r="328" spans="1:7" ht="31.5">
      <c r="A328" s="294" t="s">
        <v>277</v>
      </c>
      <c r="B328" s="323" t="s">
        <v>880</v>
      </c>
      <c r="C328" s="324" t="s">
        <v>718</v>
      </c>
      <c r="D328" s="324" t="s">
        <v>159</v>
      </c>
      <c r="E328" s="323">
        <v>240</v>
      </c>
      <c r="F328" s="221">
        <f>'приложение 4'!Q275</f>
        <v>305.59999999999997</v>
      </c>
      <c r="G328" s="221">
        <f>'приложение 4'!R275</f>
        <v>288.5</v>
      </c>
    </row>
    <row r="329" spans="1:7" ht="31.5">
      <c r="A329" s="294" t="s">
        <v>277</v>
      </c>
      <c r="B329" s="323" t="s">
        <v>880</v>
      </c>
      <c r="C329" s="324" t="s">
        <v>881</v>
      </c>
      <c r="D329" s="324" t="s">
        <v>159</v>
      </c>
      <c r="E329" s="323">
        <v>240</v>
      </c>
      <c r="F329" s="221">
        <f>'приложение 4'!Q541</f>
        <v>75</v>
      </c>
      <c r="G329" s="221">
        <f>'приложение 4'!R541</f>
        <v>75</v>
      </c>
    </row>
    <row r="330" spans="1:7" ht="15.75">
      <c r="A330" s="297" t="s">
        <v>649</v>
      </c>
      <c r="B330" s="323" t="s">
        <v>882</v>
      </c>
      <c r="C330" s="324"/>
      <c r="D330" s="324"/>
      <c r="E330" s="323"/>
      <c r="F330" s="221">
        <f>F331</f>
        <v>3698.7999999999997</v>
      </c>
      <c r="G330" s="221">
        <f>G331</f>
        <v>3596.8</v>
      </c>
    </row>
    <row r="331" spans="1:7" ht="31.5">
      <c r="A331" s="294" t="s">
        <v>277</v>
      </c>
      <c r="B331" s="323" t="s">
        <v>882</v>
      </c>
      <c r="C331" s="324" t="s">
        <v>881</v>
      </c>
      <c r="D331" s="324" t="s">
        <v>159</v>
      </c>
      <c r="E331" s="323">
        <v>240</v>
      </c>
      <c r="F331" s="221">
        <f>'приложение 4'!Q539</f>
        <v>3698.7999999999997</v>
      </c>
      <c r="G331" s="221">
        <f>'приложение 4'!R539</f>
        <v>3596.8</v>
      </c>
    </row>
    <row r="332" spans="1:7" ht="15.75">
      <c r="A332" s="297" t="s">
        <v>651</v>
      </c>
      <c r="B332" s="323" t="s">
        <v>883</v>
      </c>
      <c r="C332" s="324"/>
      <c r="D332" s="324"/>
      <c r="E332" s="323"/>
      <c r="F332" s="221">
        <f>F333</f>
        <v>555.6</v>
      </c>
      <c r="G332" s="221">
        <f>G333</f>
        <v>555.6</v>
      </c>
    </row>
    <row r="333" spans="1:7" ht="31.5">
      <c r="A333" s="294" t="s">
        <v>277</v>
      </c>
      <c r="B333" s="323" t="s">
        <v>883</v>
      </c>
      <c r="C333" s="324" t="s">
        <v>881</v>
      </c>
      <c r="D333" s="324" t="s">
        <v>159</v>
      </c>
      <c r="E333" s="323">
        <v>240</v>
      </c>
      <c r="F333" s="221">
        <f>'приложение 4'!Q543</f>
        <v>555.6</v>
      </c>
      <c r="G333" s="221">
        <f>'приложение 4'!R543</f>
        <v>555.6</v>
      </c>
    </row>
    <row r="334" spans="1:7" ht="31.5" hidden="1">
      <c r="A334" s="297" t="s">
        <v>653</v>
      </c>
      <c r="B334" s="323" t="s">
        <v>884</v>
      </c>
      <c r="C334" s="324"/>
      <c r="D334" s="324"/>
      <c r="E334" s="323"/>
      <c r="F334" s="344">
        <f>F335</f>
        <v>0</v>
      </c>
      <c r="G334" s="221">
        <f>G335</f>
        <v>0</v>
      </c>
    </row>
    <row r="335" spans="1:7" s="194" customFormat="1" ht="31.5" hidden="1">
      <c r="A335" s="294" t="s">
        <v>277</v>
      </c>
      <c r="B335" s="323" t="s">
        <v>884</v>
      </c>
      <c r="C335" s="324" t="s">
        <v>881</v>
      </c>
      <c r="D335" s="324" t="s">
        <v>159</v>
      </c>
      <c r="E335" s="323">
        <v>240</v>
      </c>
      <c r="F335" s="344">
        <f>'приложение 4'!Q545</f>
        <v>0</v>
      </c>
      <c r="G335" s="221">
        <f>'приложение 4'!R545</f>
        <v>0</v>
      </c>
    </row>
    <row r="336" spans="1:7" ht="15.75">
      <c r="A336" s="297" t="s">
        <v>655</v>
      </c>
      <c r="B336" s="323" t="s">
        <v>885</v>
      </c>
      <c r="C336" s="324"/>
      <c r="D336" s="324"/>
      <c r="E336" s="323"/>
      <c r="F336" s="221">
        <f>F337</f>
        <v>2354.3999999999996</v>
      </c>
      <c r="G336" s="221">
        <f>G337</f>
        <v>2354.4</v>
      </c>
    </row>
    <row r="337" spans="1:7" ht="31.5">
      <c r="A337" s="294" t="s">
        <v>277</v>
      </c>
      <c r="B337" s="323" t="s">
        <v>885</v>
      </c>
      <c r="C337" s="324" t="s">
        <v>881</v>
      </c>
      <c r="D337" s="324" t="s">
        <v>159</v>
      </c>
      <c r="E337" s="323">
        <v>240</v>
      </c>
      <c r="F337" s="221">
        <f>'приложение 4'!Q547</f>
        <v>2354.3999999999996</v>
      </c>
      <c r="G337" s="221">
        <f>'приложение 4'!R547</f>
        <v>2354.4</v>
      </c>
    </row>
    <row r="338" spans="1:7" ht="47.25">
      <c r="A338" s="295" t="s">
        <v>538</v>
      </c>
      <c r="B338" s="321" t="s">
        <v>886</v>
      </c>
      <c r="C338" s="322"/>
      <c r="D338" s="322"/>
      <c r="E338" s="321"/>
      <c r="F338" s="220">
        <f>F339+F345+F348+F357+F361</f>
        <v>86813.9</v>
      </c>
      <c r="G338" s="220">
        <f>G339+G345+G348+G357+G361</f>
        <v>79668.9</v>
      </c>
    </row>
    <row r="339" spans="1:7" ht="15.75">
      <c r="A339" s="297" t="s">
        <v>253</v>
      </c>
      <c r="B339" s="323" t="s">
        <v>887</v>
      </c>
      <c r="C339" s="324"/>
      <c r="D339" s="324"/>
      <c r="E339" s="323"/>
      <c r="F339" s="221">
        <f>F340+F342</f>
        <v>64661.2</v>
      </c>
      <c r="G339" s="221">
        <f>G340+G342</f>
        <v>58940.399999999994</v>
      </c>
    </row>
    <row r="340" spans="1:7" ht="15.75" hidden="1">
      <c r="A340" s="297" t="s">
        <v>540</v>
      </c>
      <c r="B340" s="323" t="s">
        <v>888</v>
      </c>
      <c r="C340" s="324"/>
      <c r="D340" s="324"/>
      <c r="E340" s="323"/>
      <c r="F340" s="344">
        <f>SUM(F341:F341)</f>
        <v>0</v>
      </c>
      <c r="G340" s="221">
        <f>SUM(G341:G341)</f>
        <v>0</v>
      </c>
    </row>
    <row r="341" spans="1:7" ht="31.5" hidden="1">
      <c r="A341" s="294" t="s">
        <v>277</v>
      </c>
      <c r="B341" s="323" t="s">
        <v>888</v>
      </c>
      <c r="C341" s="324" t="s">
        <v>718</v>
      </c>
      <c r="D341" s="324" t="s">
        <v>91</v>
      </c>
      <c r="E341" s="323">
        <v>240</v>
      </c>
      <c r="F341" s="344">
        <f>'приложение 4'!Q178</f>
        <v>0</v>
      </c>
      <c r="G341" s="221">
        <f>'приложение 4'!R178</f>
        <v>0</v>
      </c>
    </row>
    <row r="342" spans="1:7" ht="31.5">
      <c r="A342" s="297" t="s">
        <v>291</v>
      </c>
      <c r="B342" s="323" t="s">
        <v>889</v>
      </c>
      <c r="C342" s="324"/>
      <c r="D342" s="324"/>
      <c r="E342" s="323"/>
      <c r="F342" s="221">
        <f>F343+F344</f>
        <v>64661.2</v>
      </c>
      <c r="G342" s="221">
        <f>G343+G344</f>
        <v>58940.399999999994</v>
      </c>
    </row>
    <row r="343" spans="1:7" ht="31.5">
      <c r="A343" s="294" t="s">
        <v>277</v>
      </c>
      <c r="B343" s="323" t="s">
        <v>889</v>
      </c>
      <c r="C343" s="324" t="s">
        <v>718</v>
      </c>
      <c r="D343" s="324" t="s">
        <v>91</v>
      </c>
      <c r="E343" s="323">
        <v>240</v>
      </c>
      <c r="F343" s="221">
        <f>'приложение 4'!Q180</f>
        <v>3788.2000000000003</v>
      </c>
      <c r="G343" s="221">
        <f>'приложение 4'!R180</f>
        <v>3788.2</v>
      </c>
    </row>
    <row r="344" spans="1:7" ht="31.5">
      <c r="A344" s="294" t="s">
        <v>277</v>
      </c>
      <c r="B344" s="323" t="s">
        <v>889</v>
      </c>
      <c r="C344" s="324" t="s">
        <v>881</v>
      </c>
      <c r="D344" s="324" t="s">
        <v>91</v>
      </c>
      <c r="E344" s="323">
        <v>240</v>
      </c>
      <c r="F344" s="221">
        <f>'приложение 4'!Q495</f>
        <v>60873</v>
      </c>
      <c r="G344" s="221">
        <f>'приложение 4'!R495</f>
        <v>55152.2</v>
      </c>
    </row>
    <row r="345" spans="1:7" s="194" customFormat="1" ht="31.5" hidden="1">
      <c r="A345" s="297" t="s">
        <v>674</v>
      </c>
      <c r="B345" s="323" t="s">
        <v>890</v>
      </c>
      <c r="C345" s="324"/>
      <c r="D345" s="324"/>
      <c r="E345" s="323"/>
      <c r="F345" s="344">
        <f>F346</f>
        <v>0</v>
      </c>
      <c r="G345" s="221">
        <f>G346</f>
        <v>0</v>
      </c>
    </row>
    <row r="346" spans="1:7" ht="15.75" hidden="1">
      <c r="A346" s="308" t="s">
        <v>299</v>
      </c>
      <c r="B346" s="323" t="s">
        <v>891</v>
      </c>
      <c r="C346" s="324"/>
      <c r="D346" s="324"/>
      <c r="E346" s="323"/>
      <c r="F346" s="344">
        <f>F347</f>
        <v>0</v>
      </c>
      <c r="G346" s="221">
        <f>G347</f>
        <v>0</v>
      </c>
    </row>
    <row r="347" spans="1:7" ht="31.5" hidden="1">
      <c r="A347" s="294" t="s">
        <v>277</v>
      </c>
      <c r="B347" s="323" t="s">
        <v>891</v>
      </c>
      <c r="C347" s="324" t="s">
        <v>892</v>
      </c>
      <c r="D347" s="324" t="s">
        <v>91</v>
      </c>
      <c r="E347" s="323">
        <v>240</v>
      </c>
      <c r="F347" s="344">
        <f>'приложение 4'!Q652</f>
        <v>0</v>
      </c>
      <c r="G347" s="221">
        <f>'приложение 4'!R652</f>
        <v>0</v>
      </c>
    </row>
    <row r="348" spans="1:7" ht="31.5">
      <c r="A348" s="297" t="s">
        <v>314</v>
      </c>
      <c r="B348" s="323" t="s">
        <v>893</v>
      </c>
      <c r="C348" s="324"/>
      <c r="D348" s="324"/>
      <c r="E348" s="323"/>
      <c r="F348" s="221">
        <f>F349+F355</f>
        <v>18461.700000000004</v>
      </c>
      <c r="G348" s="221">
        <f>G349+G355</f>
        <v>17044.1</v>
      </c>
    </row>
    <row r="349" spans="1:7" s="194" customFormat="1" ht="15.75">
      <c r="A349" s="294" t="s">
        <v>299</v>
      </c>
      <c r="B349" s="323" t="s">
        <v>894</v>
      </c>
      <c r="C349" s="324"/>
      <c r="D349" s="324"/>
      <c r="E349" s="323"/>
      <c r="F349" s="221">
        <f>F350+F351+F353+F354+F352</f>
        <v>16799.300000000003</v>
      </c>
      <c r="G349" s="221">
        <f>G350+G351+G353+G354+G352</f>
        <v>15390.099999999999</v>
      </c>
    </row>
    <row r="350" spans="1:7" ht="31.5">
      <c r="A350" s="294" t="s">
        <v>277</v>
      </c>
      <c r="B350" s="323" t="s">
        <v>894</v>
      </c>
      <c r="C350" s="324" t="s">
        <v>718</v>
      </c>
      <c r="D350" s="324" t="s">
        <v>91</v>
      </c>
      <c r="E350" s="323">
        <v>240</v>
      </c>
      <c r="F350" s="221">
        <f>'приложение 4'!Q183</f>
        <v>9340.2</v>
      </c>
      <c r="G350" s="221">
        <f>'приложение 4'!R183</f>
        <v>7952.2</v>
      </c>
    </row>
    <row r="351" spans="1:7" ht="31.5">
      <c r="A351" s="294" t="s">
        <v>277</v>
      </c>
      <c r="B351" s="323" t="s">
        <v>894</v>
      </c>
      <c r="C351" s="324" t="s">
        <v>881</v>
      </c>
      <c r="D351" s="324" t="s">
        <v>91</v>
      </c>
      <c r="E351" s="323">
        <v>240</v>
      </c>
      <c r="F351" s="221">
        <f>'приложение 4'!Q498</f>
        <v>477.1</v>
      </c>
      <c r="G351" s="221">
        <f>'приложение 4'!R498</f>
        <v>477.1</v>
      </c>
    </row>
    <row r="352" spans="1:7" ht="15.75">
      <c r="A352" s="294"/>
      <c r="B352" s="323" t="s">
        <v>894</v>
      </c>
      <c r="C352" s="324" t="s">
        <v>881</v>
      </c>
      <c r="D352" s="324" t="s">
        <v>91</v>
      </c>
      <c r="E352" s="323">
        <v>610</v>
      </c>
      <c r="F352" s="221">
        <f>'приложение 4'!Q499</f>
        <v>3905.9</v>
      </c>
      <c r="G352" s="221">
        <f>'приложение 4'!R499</f>
        <v>3905.9</v>
      </c>
    </row>
    <row r="353" spans="1:7" ht="31.5">
      <c r="A353" s="294" t="s">
        <v>277</v>
      </c>
      <c r="B353" s="323" t="s">
        <v>894</v>
      </c>
      <c r="C353" s="324" t="s">
        <v>698</v>
      </c>
      <c r="D353" s="324" t="s">
        <v>91</v>
      </c>
      <c r="E353" s="323">
        <v>240</v>
      </c>
      <c r="F353" s="221">
        <f>'приложение 4'!Q841</f>
        <v>1400</v>
      </c>
      <c r="G353" s="221">
        <f>'приложение 4'!R841</f>
        <v>1379.1</v>
      </c>
    </row>
    <row r="354" spans="1:7" ht="31.5">
      <c r="A354" s="294" t="s">
        <v>277</v>
      </c>
      <c r="B354" s="323" t="s">
        <v>894</v>
      </c>
      <c r="C354" s="324" t="s">
        <v>855</v>
      </c>
      <c r="D354" s="324" t="s">
        <v>91</v>
      </c>
      <c r="E354" s="323">
        <v>240</v>
      </c>
      <c r="F354" s="221">
        <f>'приложение 4'!Q923</f>
        <v>1676.1</v>
      </c>
      <c r="G354" s="221">
        <f>'приложение 4'!R923</f>
        <v>1675.8</v>
      </c>
    </row>
    <row r="355" spans="1:7" ht="31.5">
      <c r="A355" s="297" t="s">
        <v>291</v>
      </c>
      <c r="B355" s="323" t="s">
        <v>895</v>
      </c>
      <c r="C355" s="324"/>
      <c r="D355" s="324"/>
      <c r="E355" s="323"/>
      <c r="F355" s="221">
        <f>F356</f>
        <v>1662.4</v>
      </c>
      <c r="G355" s="221">
        <f>G356</f>
        <v>1654</v>
      </c>
    </row>
    <row r="356" spans="1:7" ht="31.5">
      <c r="A356" s="294" t="s">
        <v>277</v>
      </c>
      <c r="B356" s="323" t="s">
        <v>895</v>
      </c>
      <c r="C356" s="324" t="s">
        <v>718</v>
      </c>
      <c r="D356" s="324" t="s">
        <v>91</v>
      </c>
      <c r="E356" s="323">
        <v>240</v>
      </c>
      <c r="F356" s="221">
        <f>'приложение 4'!Q185</f>
        <v>1662.4</v>
      </c>
      <c r="G356" s="221">
        <f>'приложение 4'!R185</f>
        <v>1654</v>
      </c>
    </row>
    <row r="357" spans="1:7" ht="31.5" hidden="1">
      <c r="A357" s="294" t="s">
        <v>460</v>
      </c>
      <c r="B357" s="323" t="s">
        <v>896</v>
      </c>
      <c r="C357" s="324"/>
      <c r="D357" s="324"/>
      <c r="E357" s="323"/>
      <c r="F357" s="344">
        <f>F358</f>
        <v>0</v>
      </c>
      <c r="G357" s="221">
        <f>G358</f>
        <v>0</v>
      </c>
    </row>
    <row r="358" spans="1:7" ht="47.25" hidden="1">
      <c r="A358" s="294" t="s">
        <v>17</v>
      </c>
      <c r="B358" s="323" t="s">
        <v>897</v>
      </c>
      <c r="C358" s="324"/>
      <c r="D358" s="324"/>
      <c r="E358" s="323"/>
      <c r="F358" s="344">
        <f>F359+F360</f>
        <v>0</v>
      </c>
      <c r="G358" s="221">
        <f>G359+G360</f>
        <v>0</v>
      </c>
    </row>
    <row r="359" spans="1:7" ht="31.5" hidden="1">
      <c r="A359" s="294" t="s">
        <v>277</v>
      </c>
      <c r="B359" s="323" t="s">
        <v>897</v>
      </c>
      <c r="C359" s="324" t="s">
        <v>718</v>
      </c>
      <c r="D359" s="324" t="s">
        <v>91</v>
      </c>
      <c r="E359" s="323">
        <v>240</v>
      </c>
      <c r="F359" s="344">
        <f>'приложение 4'!Q188</f>
        <v>0</v>
      </c>
      <c r="G359" s="221">
        <f>'приложение 4'!R188</f>
        <v>0</v>
      </c>
    </row>
    <row r="360" spans="1:7" ht="31.5" hidden="1">
      <c r="A360" s="294" t="s">
        <v>277</v>
      </c>
      <c r="B360" s="323" t="s">
        <v>897</v>
      </c>
      <c r="C360" s="324" t="s">
        <v>881</v>
      </c>
      <c r="D360" s="324" t="s">
        <v>91</v>
      </c>
      <c r="E360" s="323">
        <v>240</v>
      </c>
      <c r="F360" s="344">
        <f>'приложение 4'!Q502</f>
        <v>0</v>
      </c>
      <c r="G360" s="221">
        <f>'приложение 4'!R502</f>
        <v>0</v>
      </c>
    </row>
    <row r="361" spans="1:7" ht="47.25">
      <c r="A361" s="297" t="s">
        <v>461</v>
      </c>
      <c r="B361" s="323" t="s">
        <v>898</v>
      </c>
      <c r="C361" s="324"/>
      <c r="D361" s="324"/>
      <c r="E361" s="323"/>
      <c r="F361" s="221">
        <f>F362</f>
        <v>3691</v>
      </c>
      <c r="G361" s="221">
        <f>G362</f>
        <v>3684.4</v>
      </c>
    </row>
    <row r="362" spans="1:7" ht="15.75">
      <c r="A362" s="297" t="s">
        <v>299</v>
      </c>
      <c r="B362" s="323" t="s">
        <v>899</v>
      </c>
      <c r="C362" s="324"/>
      <c r="D362" s="324"/>
      <c r="E362" s="323"/>
      <c r="F362" s="221">
        <f>F364+F363</f>
        <v>3691</v>
      </c>
      <c r="G362" s="221">
        <f>G364+G363</f>
        <v>3684.4</v>
      </c>
    </row>
    <row r="363" spans="1:7" ht="31.5">
      <c r="A363" s="294" t="s">
        <v>277</v>
      </c>
      <c r="B363" s="323" t="s">
        <v>899</v>
      </c>
      <c r="C363" s="324" t="s">
        <v>718</v>
      </c>
      <c r="D363" s="324" t="s">
        <v>91</v>
      </c>
      <c r="E363" s="323">
        <v>240</v>
      </c>
      <c r="F363" s="221">
        <f>'приложение 4'!Q191</f>
        <v>94</v>
      </c>
      <c r="G363" s="221">
        <f>'приложение 4'!R191</f>
        <v>87.4</v>
      </c>
    </row>
    <row r="364" spans="1:7" ht="31.5">
      <c r="A364" s="294" t="s">
        <v>277</v>
      </c>
      <c r="B364" s="323" t="s">
        <v>899</v>
      </c>
      <c r="C364" s="324" t="s">
        <v>881</v>
      </c>
      <c r="D364" s="324" t="s">
        <v>91</v>
      </c>
      <c r="E364" s="323">
        <v>240</v>
      </c>
      <c r="F364" s="221">
        <f>'приложение 4'!Q505</f>
        <v>3597</v>
      </c>
      <c r="G364" s="221">
        <f>'приложение 4'!R505</f>
        <v>3597</v>
      </c>
    </row>
    <row r="365" spans="1:7" ht="31.5">
      <c r="A365" s="310" t="s">
        <v>670</v>
      </c>
      <c r="B365" s="321" t="s">
        <v>900</v>
      </c>
      <c r="C365" s="322"/>
      <c r="D365" s="322"/>
      <c r="E365" s="321"/>
      <c r="F365" s="220">
        <f>F366+F369+F372+F376+F386</f>
        <v>10486.1</v>
      </c>
      <c r="G365" s="220">
        <f>G366+G369+G372+G376+G386</f>
        <v>10360.3</v>
      </c>
    </row>
    <row r="366" spans="1:7" ht="31.5">
      <c r="A366" s="297" t="s">
        <v>402</v>
      </c>
      <c r="B366" s="323" t="s">
        <v>901</v>
      </c>
      <c r="C366" s="324"/>
      <c r="D366" s="324"/>
      <c r="E366" s="323"/>
      <c r="F366" s="221">
        <f>F367</f>
        <v>406.2</v>
      </c>
      <c r="G366" s="221">
        <f>G367</f>
        <v>404.3</v>
      </c>
    </row>
    <row r="367" spans="1:7" ht="15.75">
      <c r="A367" s="297" t="s">
        <v>76</v>
      </c>
      <c r="B367" s="323" t="s">
        <v>902</v>
      </c>
      <c r="C367" s="324"/>
      <c r="D367" s="324"/>
      <c r="E367" s="323"/>
      <c r="F367" s="221">
        <f>F368</f>
        <v>406.2</v>
      </c>
      <c r="G367" s="221">
        <f>G368</f>
        <v>404.3</v>
      </c>
    </row>
    <row r="368" spans="1:7" ht="31.5">
      <c r="A368" s="297" t="s">
        <v>277</v>
      </c>
      <c r="B368" s="323" t="s">
        <v>902</v>
      </c>
      <c r="C368" s="324" t="s">
        <v>892</v>
      </c>
      <c r="D368" s="324" t="s">
        <v>88</v>
      </c>
      <c r="E368" s="323">
        <v>240</v>
      </c>
      <c r="F368" s="221">
        <f>'приложение 4'!Q626</f>
        <v>406.2</v>
      </c>
      <c r="G368" s="221">
        <f>'приложение 4'!R626</f>
        <v>404.3</v>
      </c>
    </row>
    <row r="369" spans="1:7" ht="31.5">
      <c r="A369" s="297" t="s">
        <v>403</v>
      </c>
      <c r="B369" s="323" t="s">
        <v>903</v>
      </c>
      <c r="C369" s="324"/>
      <c r="D369" s="324"/>
      <c r="E369" s="323"/>
      <c r="F369" s="221">
        <f>F370</f>
        <v>87.9</v>
      </c>
      <c r="G369" s="221">
        <f>G370</f>
        <v>87.9</v>
      </c>
    </row>
    <row r="370" spans="1:7" ht="31.5">
      <c r="A370" s="297" t="s">
        <v>404</v>
      </c>
      <c r="B370" s="323" t="s">
        <v>904</v>
      </c>
      <c r="C370" s="324"/>
      <c r="D370" s="324"/>
      <c r="E370" s="323"/>
      <c r="F370" s="221">
        <f>F371</f>
        <v>87.9</v>
      </c>
      <c r="G370" s="221">
        <f>G371</f>
        <v>87.9</v>
      </c>
    </row>
    <row r="371" spans="1:7" ht="31.5">
      <c r="A371" s="297" t="s">
        <v>277</v>
      </c>
      <c r="B371" s="323" t="s">
        <v>904</v>
      </c>
      <c r="C371" s="324" t="s">
        <v>892</v>
      </c>
      <c r="D371" s="324" t="s">
        <v>88</v>
      </c>
      <c r="E371" s="323">
        <v>240</v>
      </c>
      <c r="F371" s="221">
        <f>'приложение 4'!Q629</f>
        <v>87.9</v>
      </c>
      <c r="G371" s="221">
        <f>'приложение 4'!R629</f>
        <v>87.9</v>
      </c>
    </row>
    <row r="372" spans="1:7" ht="47.25">
      <c r="A372" s="294" t="s">
        <v>672</v>
      </c>
      <c r="B372" s="323" t="s">
        <v>905</v>
      </c>
      <c r="C372" s="324"/>
      <c r="D372" s="324"/>
      <c r="E372" s="323"/>
      <c r="F372" s="221">
        <f>F373</f>
        <v>30.2</v>
      </c>
      <c r="G372" s="221">
        <f>G373</f>
        <v>19.2</v>
      </c>
    </row>
    <row r="373" spans="1:7" ht="31.5">
      <c r="A373" s="308" t="s">
        <v>673</v>
      </c>
      <c r="B373" s="323" t="s">
        <v>906</v>
      </c>
      <c r="C373" s="324"/>
      <c r="D373" s="324"/>
      <c r="E373" s="323"/>
      <c r="F373" s="221">
        <f>F374+F375</f>
        <v>30.2</v>
      </c>
      <c r="G373" s="221">
        <f>G374+G375</f>
        <v>19.2</v>
      </c>
    </row>
    <row r="374" spans="1:7" ht="31.5" hidden="1">
      <c r="A374" s="294" t="s">
        <v>277</v>
      </c>
      <c r="B374" s="323" t="s">
        <v>906</v>
      </c>
      <c r="C374" s="324" t="s">
        <v>892</v>
      </c>
      <c r="D374" s="324" t="s">
        <v>88</v>
      </c>
      <c r="E374" s="323">
        <v>240</v>
      </c>
      <c r="F374" s="344">
        <f>'приложение 4'!Q632</f>
        <v>0</v>
      </c>
      <c r="G374" s="221">
        <f>'приложение 4'!R632</f>
        <v>0</v>
      </c>
    </row>
    <row r="375" spans="1:7" ht="15.75">
      <c r="A375" s="297" t="s">
        <v>278</v>
      </c>
      <c r="B375" s="323" t="s">
        <v>906</v>
      </c>
      <c r="C375" s="324" t="s">
        <v>892</v>
      </c>
      <c r="D375" s="324" t="s">
        <v>88</v>
      </c>
      <c r="E375" s="323">
        <v>850</v>
      </c>
      <c r="F375" s="221">
        <f>'приложение 4'!Q633</f>
        <v>30.2</v>
      </c>
      <c r="G375" s="221">
        <f>'приложение 4'!R633</f>
        <v>19.2</v>
      </c>
    </row>
    <row r="376" spans="1:7" ht="31.5">
      <c r="A376" s="297" t="s">
        <v>406</v>
      </c>
      <c r="B376" s="323" t="s">
        <v>907</v>
      </c>
      <c r="C376" s="324"/>
      <c r="D376" s="324"/>
      <c r="E376" s="323"/>
      <c r="F376" s="221">
        <f>F377+F384+F382</f>
        <v>6383</v>
      </c>
      <c r="G376" s="221">
        <f>G377+G384+G382</f>
        <v>6270.1</v>
      </c>
    </row>
    <row r="377" spans="1:7" ht="15.75">
      <c r="A377" s="297" t="s">
        <v>64</v>
      </c>
      <c r="B377" s="323" t="s">
        <v>908</v>
      </c>
      <c r="C377" s="324"/>
      <c r="D377" s="324"/>
      <c r="E377" s="323"/>
      <c r="F377" s="221">
        <f>F378+F379+F380+F381</f>
        <v>5381.4</v>
      </c>
      <c r="G377" s="221">
        <f>G378+G379+G380+G381</f>
        <v>5268.5</v>
      </c>
    </row>
    <row r="378" spans="1:7" ht="15.75">
      <c r="A378" s="297" t="s">
        <v>210</v>
      </c>
      <c r="B378" s="323" t="s">
        <v>908</v>
      </c>
      <c r="C378" s="324" t="s">
        <v>892</v>
      </c>
      <c r="D378" s="324" t="s">
        <v>88</v>
      </c>
      <c r="E378" s="323">
        <v>120</v>
      </c>
      <c r="F378" s="221">
        <f>'приложение 4'!Q636</f>
        <v>4740</v>
      </c>
      <c r="G378" s="221">
        <f>'приложение 4'!R636</f>
        <v>4738.7</v>
      </c>
    </row>
    <row r="379" spans="1:7" ht="31.5">
      <c r="A379" s="297" t="s">
        <v>277</v>
      </c>
      <c r="B379" s="323" t="s">
        <v>908</v>
      </c>
      <c r="C379" s="324" t="s">
        <v>892</v>
      </c>
      <c r="D379" s="324" t="s">
        <v>88</v>
      </c>
      <c r="E379" s="323">
        <v>240</v>
      </c>
      <c r="F379" s="221">
        <f>'приложение 4'!Q637</f>
        <v>600.4</v>
      </c>
      <c r="G379" s="221">
        <f>'приложение 4'!R637</f>
        <v>529.8</v>
      </c>
    </row>
    <row r="380" spans="1:7" ht="15.75">
      <c r="A380" s="294" t="s">
        <v>284</v>
      </c>
      <c r="B380" s="323" t="s">
        <v>908</v>
      </c>
      <c r="C380" s="324" t="s">
        <v>892</v>
      </c>
      <c r="D380" s="324" t="s">
        <v>88</v>
      </c>
      <c r="E380" s="323">
        <v>830</v>
      </c>
      <c r="F380" s="221">
        <f>'приложение 4'!Q638</f>
        <v>10</v>
      </c>
      <c r="G380" s="221">
        <f>'приложение 4'!R638</f>
        <v>0</v>
      </c>
    </row>
    <row r="381" spans="1:7" ht="15.75">
      <c r="A381" s="294" t="s">
        <v>278</v>
      </c>
      <c r="B381" s="323" t="s">
        <v>908</v>
      </c>
      <c r="C381" s="324" t="s">
        <v>892</v>
      </c>
      <c r="D381" s="324" t="s">
        <v>88</v>
      </c>
      <c r="E381" s="323">
        <v>850</v>
      </c>
      <c r="F381" s="221">
        <f>'приложение 4'!Q639</f>
        <v>31</v>
      </c>
      <c r="G381" s="221">
        <f>'приложение 4'!R639</f>
        <v>0</v>
      </c>
    </row>
    <row r="382" spans="1:7" ht="47.25">
      <c r="A382" s="297" t="s">
        <v>458</v>
      </c>
      <c r="B382" s="323" t="s">
        <v>909</v>
      </c>
      <c r="C382" s="324"/>
      <c r="D382" s="324"/>
      <c r="E382" s="323"/>
      <c r="F382" s="221">
        <f>F383</f>
        <v>34.1</v>
      </c>
      <c r="G382" s="221">
        <f>G383</f>
        <v>34.1</v>
      </c>
    </row>
    <row r="383" spans="1:7" ht="15.75">
      <c r="A383" s="297" t="s">
        <v>210</v>
      </c>
      <c r="B383" s="323" t="s">
        <v>909</v>
      </c>
      <c r="C383" s="324" t="s">
        <v>892</v>
      </c>
      <c r="D383" s="324" t="s">
        <v>88</v>
      </c>
      <c r="E383" s="323">
        <v>120</v>
      </c>
      <c r="F383" s="221">
        <f>'приложение 4'!Q641</f>
        <v>34.1</v>
      </c>
      <c r="G383" s="221">
        <f>'приложение 4'!R641</f>
        <v>34.1</v>
      </c>
    </row>
    <row r="384" spans="1:7" ht="31.5">
      <c r="A384" s="297" t="s">
        <v>353</v>
      </c>
      <c r="B384" s="323" t="s">
        <v>910</v>
      </c>
      <c r="C384" s="324"/>
      <c r="D384" s="324"/>
      <c r="E384" s="323"/>
      <c r="F384" s="221">
        <f>F385</f>
        <v>967.5</v>
      </c>
      <c r="G384" s="221">
        <f>G385</f>
        <v>967.5</v>
      </c>
    </row>
    <row r="385" spans="1:7" ht="15.75">
      <c r="A385" s="297" t="s">
        <v>210</v>
      </c>
      <c r="B385" s="323" t="s">
        <v>910</v>
      </c>
      <c r="C385" s="324" t="s">
        <v>892</v>
      </c>
      <c r="D385" s="324" t="s">
        <v>88</v>
      </c>
      <c r="E385" s="323">
        <v>120</v>
      </c>
      <c r="F385" s="221">
        <f>'приложение 4'!Q643</f>
        <v>967.5</v>
      </c>
      <c r="G385" s="221">
        <f>'приложение 4'!R643</f>
        <v>967.5</v>
      </c>
    </row>
    <row r="386" spans="1:7" ht="63">
      <c r="A386" s="297" t="s">
        <v>400</v>
      </c>
      <c r="B386" s="323" t="s">
        <v>911</v>
      </c>
      <c r="C386" s="324"/>
      <c r="D386" s="324"/>
      <c r="E386" s="323"/>
      <c r="F386" s="221">
        <f>F387</f>
        <v>3578.7999999999997</v>
      </c>
      <c r="G386" s="221">
        <f>G387</f>
        <v>3578.8</v>
      </c>
    </row>
    <row r="387" spans="1:7" ht="78.75">
      <c r="A387" s="297" t="s">
        <v>36</v>
      </c>
      <c r="B387" s="323" t="s">
        <v>912</v>
      </c>
      <c r="C387" s="324"/>
      <c r="D387" s="324"/>
      <c r="E387" s="323"/>
      <c r="F387" s="221">
        <f>F388+F389</f>
        <v>3578.7999999999997</v>
      </c>
      <c r="G387" s="221">
        <f>G388+G389</f>
        <v>3578.8</v>
      </c>
    </row>
    <row r="388" spans="1:7" ht="31.5">
      <c r="A388" s="297" t="s">
        <v>277</v>
      </c>
      <c r="B388" s="323" t="s">
        <v>912</v>
      </c>
      <c r="C388" s="324" t="s">
        <v>892</v>
      </c>
      <c r="D388" s="324" t="s">
        <v>88</v>
      </c>
      <c r="E388" s="323">
        <v>240</v>
      </c>
      <c r="F388" s="221">
        <f>'приложение 4'!Q646</f>
        <v>52.9</v>
      </c>
      <c r="G388" s="221">
        <f>'приложение 4'!R646</f>
        <v>52.9</v>
      </c>
    </row>
    <row r="389" spans="1:7" ht="31.5">
      <c r="A389" s="297" t="s">
        <v>282</v>
      </c>
      <c r="B389" s="323" t="s">
        <v>912</v>
      </c>
      <c r="C389" s="324" t="s">
        <v>892</v>
      </c>
      <c r="D389" s="324" t="s">
        <v>90</v>
      </c>
      <c r="E389" s="323">
        <v>320</v>
      </c>
      <c r="F389" s="221">
        <f>'приложение 4'!Q658</f>
        <v>3525.8999999999996</v>
      </c>
      <c r="G389" s="221">
        <f>'приложение 4'!R658</f>
        <v>3525.9</v>
      </c>
    </row>
    <row r="390" spans="1:7" ht="47.25">
      <c r="A390" s="295" t="s">
        <v>509</v>
      </c>
      <c r="B390" s="321" t="s">
        <v>913</v>
      </c>
      <c r="C390" s="322"/>
      <c r="D390" s="322"/>
      <c r="E390" s="321"/>
      <c r="F390" s="220">
        <f>F391+F416+F450+F471+F492+F515+F523</f>
        <v>163008.30000000002</v>
      </c>
      <c r="G390" s="220">
        <f>G391+G416+G450+G471+G492+G515+G523</f>
        <v>159507.1</v>
      </c>
    </row>
    <row r="391" spans="1:7" ht="47.25">
      <c r="A391" s="297" t="s">
        <v>914</v>
      </c>
      <c r="B391" s="330" t="s">
        <v>915</v>
      </c>
      <c r="C391" s="331"/>
      <c r="D391" s="331"/>
      <c r="E391" s="330"/>
      <c r="F391" s="222">
        <f>F392+F407+F410+F413+F402+F404</f>
        <v>35882.200000000004</v>
      </c>
      <c r="G391" s="222">
        <f>G392+G407+G410+G413+G402+G404</f>
        <v>35271.99999999999</v>
      </c>
    </row>
    <row r="392" spans="1:7" ht="15.75">
      <c r="A392" s="297" t="s">
        <v>64</v>
      </c>
      <c r="B392" s="323" t="s">
        <v>916</v>
      </c>
      <c r="C392" s="324"/>
      <c r="D392" s="324"/>
      <c r="E392" s="323"/>
      <c r="F392" s="221">
        <f>F393+F394+F395+F396+F397+F398+F400+F401+F399</f>
        <v>29401.3</v>
      </c>
      <c r="G392" s="221">
        <f>G393+G394+G395+G396+G397+G398+G400+G401+G399</f>
        <v>28810.199999999993</v>
      </c>
    </row>
    <row r="393" spans="1:7" ht="15.75">
      <c r="A393" s="297" t="s">
        <v>210</v>
      </c>
      <c r="B393" s="323" t="s">
        <v>916</v>
      </c>
      <c r="C393" s="324" t="s">
        <v>718</v>
      </c>
      <c r="D393" s="324" t="s">
        <v>483</v>
      </c>
      <c r="E393" s="323">
        <v>120</v>
      </c>
      <c r="F393" s="221">
        <f>'приложение 4'!Q57</f>
        <v>2377.7999999999997</v>
      </c>
      <c r="G393" s="221">
        <f>'приложение 4'!R57</f>
        <v>2377.8</v>
      </c>
    </row>
    <row r="394" spans="1:7" ht="15.75">
      <c r="A394" s="297" t="s">
        <v>210</v>
      </c>
      <c r="B394" s="323" t="s">
        <v>916</v>
      </c>
      <c r="C394" s="324" t="s">
        <v>718</v>
      </c>
      <c r="D394" s="324" t="s">
        <v>81</v>
      </c>
      <c r="E394" s="323">
        <v>120</v>
      </c>
      <c r="F394" s="221">
        <f>'приложение 4'!Q66</f>
        <v>21323.6</v>
      </c>
      <c r="G394" s="221">
        <f>'приложение 4'!R66</f>
        <v>21317.1</v>
      </c>
    </row>
    <row r="395" spans="1:7" ht="31.5">
      <c r="A395" s="294" t="s">
        <v>277</v>
      </c>
      <c r="B395" s="323" t="s">
        <v>916</v>
      </c>
      <c r="C395" s="324" t="s">
        <v>718</v>
      </c>
      <c r="D395" s="324" t="s">
        <v>81</v>
      </c>
      <c r="E395" s="323">
        <v>240</v>
      </c>
      <c r="F395" s="221">
        <f>'приложение 4'!Q67</f>
        <v>1971.6999999999994</v>
      </c>
      <c r="G395" s="221">
        <f>'приложение 4'!R67</f>
        <v>1560.6</v>
      </c>
    </row>
    <row r="396" spans="1:7" ht="31.5">
      <c r="A396" s="294" t="s">
        <v>282</v>
      </c>
      <c r="B396" s="323" t="s">
        <v>916</v>
      </c>
      <c r="C396" s="324" t="s">
        <v>718</v>
      </c>
      <c r="D396" s="324" t="s">
        <v>81</v>
      </c>
      <c r="E396" s="323">
        <v>320</v>
      </c>
      <c r="F396" s="221">
        <f>'приложение 4'!Q68</f>
        <v>79</v>
      </c>
      <c r="G396" s="221">
        <f>'приложение 4'!R68</f>
        <v>37.6</v>
      </c>
    </row>
    <row r="397" spans="1:7" ht="15.75">
      <c r="A397" s="304" t="s">
        <v>278</v>
      </c>
      <c r="B397" s="323" t="s">
        <v>916</v>
      </c>
      <c r="C397" s="324" t="s">
        <v>718</v>
      </c>
      <c r="D397" s="324" t="s">
        <v>81</v>
      </c>
      <c r="E397" s="323">
        <v>850</v>
      </c>
      <c r="F397" s="221">
        <f>'приложение 4'!Q69</f>
        <v>402.1000000000001</v>
      </c>
      <c r="G397" s="221">
        <f>'приложение 4'!R69</f>
        <v>386.1</v>
      </c>
    </row>
    <row r="398" spans="1:7" ht="31.5">
      <c r="A398" s="297" t="s">
        <v>277</v>
      </c>
      <c r="B398" s="323" t="s">
        <v>916</v>
      </c>
      <c r="C398" s="324" t="s">
        <v>718</v>
      </c>
      <c r="D398" s="324" t="s">
        <v>88</v>
      </c>
      <c r="E398" s="323">
        <v>240</v>
      </c>
      <c r="F398" s="221">
        <f>'приложение 4'!Q103</f>
        <v>1770.3000000000002</v>
      </c>
      <c r="G398" s="221">
        <f>'приложение 4'!R103</f>
        <v>1684</v>
      </c>
    </row>
    <row r="399" spans="1:7" ht="15.75">
      <c r="A399" s="294" t="s">
        <v>284</v>
      </c>
      <c r="B399" s="323" t="s">
        <v>916</v>
      </c>
      <c r="C399" s="324" t="s">
        <v>718</v>
      </c>
      <c r="D399" s="324" t="s">
        <v>88</v>
      </c>
      <c r="E399" s="323">
        <v>830</v>
      </c>
      <c r="F399" s="221">
        <f>'приложение 4'!Q104</f>
        <v>180.89999999999998</v>
      </c>
      <c r="G399" s="221">
        <f>'приложение 4'!R104</f>
        <v>180.9</v>
      </c>
    </row>
    <row r="400" spans="1:7" ht="15.75">
      <c r="A400" s="297" t="s">
        <v>278</v>
      </c>
      <c r="B400" s="323" t="s">
        <v>916</v>
      </c>
      <c r="C400" s="324" t="s">
        <v>718</v>
      </c>
      <c r="D400" s="324" t="s">
        <v>88</v>
      </c>
      <c r="E400" s="323">
        <v>850</v>
      </c>
      <c r="F400" s="221">
        <f>'приложение 4'!Q105</f>
        <v>1295.9</v>
      </c>
      <c r="G400" s="221">
        <f>'приложение 4'!R105</f>
        <v>1266.1</v>
      </c>
    </row>
    <row r="401" spans="1:7" ht="31.5" hidden="1">
      <c r="A401" s="294" t="s">
        <v>277</v>
      </c>
      <c r="B401" s="323" t="s">
        <v>916</v>
      </c>
      <c r="C401" s="324" t="s">
        <v>718</v>
      </c>
      <c r="D401" s="324" t="s">
        <v>99</v>
      </c>
      <c r="E401" s="323">
        <v>240</v>
      </c>
      <c r="F401" s="344">
        <f>'приложение 4'!Q245</f>
        <v>0</v>
      </c>
      <c r="G401" s="221">
        <f>'приложение 4'!R245</f>
        <v>0</v>
      </c>
    </row>
    <row r="402" spans="1:7" ht="15.75" hidden="1">
      <c r="A402" s="343" t="s">
        <v>456</v>
      </c>
      <c r="B402" s="323" t="s">
        <v>917</v>
      </c>
      <c r="C402" s="324" t="s">
        <v>718</v>
      </c>
      <c r="D402" s="324" t="s">
        <v>88</v>
      </c>
      <c r="E402" s="323"/>
      <c r="F402" s="344">
        <f>F403</f>
        <v>0</v>
      </c>
      <c r="G402" s="221">
        <f>G403</f>
        <v>0</v>
      </c>
    </row>
    <row r="403" spans="1:7" ht="31.5" hidden="1">
      <c r="A403" s="294" t="s">
        <v>277</v>
      </c>
      <c r="B403" s="323" t="s">
        <v>917</v>
      </c>
      <c r="C403" s="324" t="s">
        <v>718</v>
      </c>
      <c r="D403" s="324" t="s">
        <v>88</v>
      </c>
      <c r="E403" s="323">
        <v>240</v>
      </c>
      <c r="F403" s="344">
        <f>'приложение 4'!Q107</f>
        <v>0</v>
      </c>
      <c r="G403" s="221">
        <f>'приложение 4'!R107</f>
        <v>0</v>
      </c>
    </row>
    <row r="404" spans="1:7" ht="47.25">
      <c r="A404" s="297" t="s">
        <v>458</v>
      </c>
      <c r="B404" s="323" t="s">
        <v>918</v>
      </c>
      <c r="C404" s="324"/>
      <c r="D404" s="324"/>
      <c r="E404" s="323"/>
      <c r="F404" s="221">
        <f>F405+F406</f>
        <v>847.9000000000001</v>
      </c>
      <c r="G404" s="221">
        <f>G405+G406</f>
        <v>847.9000000000001</v>
      </c>
    </row>
    <row r="405" spans="1:7" ht="15.75">
      <c r="A405" s="297" t="s">
        <v>210</v>
      </c>
      <c r="B405" s="323" t="s">
        <v>918</v>
      </c>
      <c r="C405" s="324" t="s">
        <v>718</v>
      </c>
      <c r="D405" s="324" t="s">
        <v>483</v>
      </c>
      <c r="E405" s="323">
        <v>120</v>
      </c>
      <c r="F405" s="221">
        <f>'приложение 4'!Q59</f>
        <v>330.2</v>
      </c>
      <c r="G405" s="221">
        <f>'приложение 4'!R59</f>
        <v>330.2</v>
      </c>
    </row>
    <row r="406" spans="1:7" ht="15.75">
      <c r="A406" s="297" t="s">
        <v>210</v>
      </c>
      <c r="B406" s="323" t="s">
        <v>918</v>
      </c>
      <c r="C406" s="324" t="s">
        <v>718</v>
      </c>
      <c r="D406" s="324" t="s">
        <v>81</v>
      </c>
      <c r="E406" s="323">
        <v>120</v>
      </c>
      <c r="F406" s="221">
        <f>'приложение 4'!Q71</f>
        <v>517.7</v>
      </c>
      <c r="G406" s="221">
        <f>'приложение 4'!R71</f>
        <v>517.7</v>
      </c>
    </row>
    <row r="407" spans="1:7" ht="31.5">
      <c r="A407" s="304" t="s">
        <v>353</v>
      </c>
      <c r="B407" s="323" t="s">
        <v>919</v>
      </c>
      <c r="C407" s="324"/>
      <c r="D407" s="324"/>
      <c r="E407" s="323"/>
      <c r="F407" s="221">
        <f>F408+F409</f>
        <v>5249.2</v>
      </c>
      <c r="G407" s="221">
        <f>G408+G409</f>
        <v>5249.2</v>
      </c>
    </row>
    <row r="408" spans="1:7" s="194" customFormat="1" ht="15.75">
      <c r="A408" s="294" t="s">
        <v>210</v>
      </c>
      <c r="B408" s="323" t="s">
        <v>919</v>
      </c>
      <c r="C408" s="324" t="s">
        <v>718</v>
      </c>
      <c r="D408" s="324" t="s">
        <v>483</v>
      </c>
      <c r="E408" s="323">
        <v>120</v>
      </c>
      <c r="F408" s="221">
        <f>'приложение 4'!Q61</f>
        <v>511.9</v>
      </c>
      <c r="G408" s="221">
        <f>'приложение 4'!R61</f>
        <v>511.9</v>
      </c>
    </row>
    <row r="409" spans="1:7" s="196" customFormat="1" ht="15.75">
      <c r="A409" s="294" t="s">
        <v>210</v>
      </c>
      <c r="B409" s="323" t="s">
        <v>919</v>
      </c>
      <c r="C409" s="324" t="s">
        <v>718</v>
      </c>
      <c r="D409" s="324" t="s">
        <v>81</v>
      </c>
      <c r="E409" s="323">
        <v>120</v>
      </c>
      <c r="F409" s="221">
        <f>'приложение 4'!Q73</f>
        <v>4737.3</v>
      </c>
      <c r="G409" s="221">
        <f>'приложение 4'!R73</f>
        <v>4737.3</v>
      </c>
    </row>
    <row r="410" spans="1:7" ht="15.75" hidden="1">
      <c r="A410" s="334" t="s">
        <v>456</v>
      </c>
      <c r="B410" s="323" t="s">
        <v>920</v>
      </c>
      <c r="C410" s="324"/>
      <c r="D410" s="324"/>
      <c r="E410" s="323"/>
      <c r="F410" s="344">
        <f>F411+F412</f>
        <v>0</v>
      </c>
      <c r="G410" s="221">
        <f>G411+G412</f>
        <v>0</v>
      </c>
    </row>
    <row r="411" spans="1:7" ht="31.5" hidden="1">
      <c r="A411" s="334" t="s">
        <v>277</v>
      </c>
      <c r="B411" s="323" t="s">
        <v>920</v>
      </c>
      <c r="C411" s="324" t="s">
        <v>718</v>
      </c>
      <c r="D411" s="324" t="s">
        <v>99</v>
      </c>
      <c r="E411" s="323">
        <v>240</v>
      </c>
      <c r="F411" s="344">
        <f>'приложение 4'!Q247</f>
        <v>0</v>
      </c>
      <c r="G411" s="221">
        <f>'приложение 4'!R247</f>
        <v>0</v>
      </c>
    </row>
    <row r="412" spans="1:7" ht="31.5" hidden="1">
      <c r="A412" s="334" t="s">
        <v>277</v>
      </c>
      <c r="B412" s="323" t="s">
        <v>920</v>
      </c>
      <c r="C412" s="324" t="s">
        <v>718</v>
      </c>
      <c r="D412" s="324" t="s">
        <v>159</v>
      </c>
      <c r="E412" s="323">
        <v>240</v>
      </c>
      <c r="F412" s="344">
        <f>'приложение 4'!Q279</f>
        <v>0</v>
      </c>
      <c r="G412" s="221">
        <f>'приложение 4'!R279</f>
        <v>0</v>
      </c>
    </row>
    <row r="413" spans="1:7" ht="15.75">
      <c r="A413" s="294" t="s">
        <v>548</v>
      </c>
      <c r="B413" s="323" t="s">
        <v>921</v>
      </c>
      <c r="C413" s="324"/>
      <c r="D413" s="324" t="s">
        <v>241</v>
      </c>
      <c r="E413" s="323"/>
      <c r="F413" s="221">
        <f>F415+F414</f>
        <v>383.8</v>
      </c>
      <c r="G413" s="221">
        <f>G415+G414</f>
        <v>364.7</v>
      </c>
    </row>
    <row r="414" spans="1:7" ht="31.5">
      <c r="A414" s="311" t="str">
        <f>A415</f>
        <v>Иные закупки товаров, работ и услуг для обеспечения государственных (муниципальных) нужд</v>
      </c>
      <c r="B414" s="323" t="s">
        <v>921</v>
      </c>
      <c r="C414" s="324" t="s">
        <v>718</v>
      </c>
      <c r="D414" s="324" t="s">
        <v>106</v>
      </c>
      <c r="E414" s="323">
        <v>240</v>
      </c>
      <c r="F414" s="221">
        <f>'приложение 4'!Q229</f>
        <v>23.8</v>
      </c>
      <c r="G414" s="221">
        <f>'приложение 4'!R229</f>
        <v>23.8</v>
      </c>
    </row>
    <row r="415" spans="1:7" ht="31.5">
      <c r="A415" s="312" t="s">
        <v>277</v>
      </c>
      <c r="B415" s="323" t="s">
        <v>921</v>
      </c>
      <c r="C415" s="324" t="s">
        <v>718</v>
      </c>
      <c r="D415" s="324" t="s">
        <v>393</v>
      </c>
      <c r="E415" s="323">
        <v>240</v>
      </c>
      <c r="F415" s="221">
        <f>'приложение 4'!Q295</f>
        <v>360</v>
      </c>
      <c r="G415" s="221">
        <f>'приложение 4'!R295</f>
        <v>340.9</v>
      </c>
    </row>
    <row r="416" spans="1:7" ht="47.25">
      <c r="A416" s="313" t="s">
        <v>626</v>
      </c>
      <c r="B416" s="330" t="s">
        <v>922</v>
      </c>
      <c r="C416" s="331"/>
      <c r="D416" s="331"/>
      <c r="E416" s="330"/>
      <c r="F416" s="222">
        <f>F417+F429+F431+F434+F441+F443+F437+F439+F447+F425+F445+F427</f>
        <v>24438.600000000002</v>
      </c>
      <c r="G416" s="222">
        <f>G417+G429+G431+G434+G441+G443+G437+G439+G447+G425+G445+G427</f>
        <v>23776.6</v>
      </c>
    </row>
    <row r="417" spans="1:7" ht="15.75">
      <c r="A417" s="296" t="s">
        <v>64</v>
      </c>
      <c r="B417" s="323" t="s">
        <v>923</v>
      </c>
      <c r="C417" s="324"/>
      <c r="D417" s="324"/>
      <c r="E417" s="323"/>
      <c r="F417" s="221">
        <f>F418+F419+F422+F420+F423+F421+F424</f>
        <v>2915.0000000000005</v>
      </c>
      <c r="G417" s="221">
        <f>G418+G419+G422+G420+G423+G421+G424</f>
        <v>2863.1</v>
      </c>
    </row>
    <row r="418" spans="1:7" ht="15.75">
      <c r="A418" s="297" t="s">
        <v>210</v>
      </c>
      <c r="B418" s="323" t="s">
        <v>923</v>
      </c>
      <c r="C418" s="324" t="s">
        <v>881</v>
      </c>
      <c r="D418" s="324" t="s">
        <v>81</v>
      </c>
      <c r="E418" s="323">
        <v>120</v>
      </c>
      <c r="F418" s="221">
        <f>'приложение 4'!Q461</f>
        <v>2683.7000000000003</v>
      </c>
      <c r="G418" s="221">
        <f>'приложение 4'!R461</f>
        <v>2674.2</v>
      </c>
    </row>
    <row r="419" spans="1:7" ht="31.5">
      <c r="A419" s="294" t="s">
        <v>277</v>
      </c>
      <c r="B419" s="323" t="s">
        <v>923</v>
      </c>
      <c r="C419" s="324" t="s">
        <v>881</v>
      </c>
      <c r="D419" s="324" t="s">
        <v>81</v>
      </c>
      <c r="E419" s="323">
        <v>240</v>
      </c>
      <c r="F419" s="221">
        <f>'приложение 4'!Q462</f>
        <v>157.9</v>
      </c>
      <c r="G419" s="221">
        <f>'приложение 4'!R462</f>
        <v>131.3</v>
      </c>
    </row>
    <row r="420" spans="1:7" ht="15.75">
      <c r="A420" s="297" t="str">
        <f>A422</f>
        <v>Уплата налогов, сборов и иных платежей</v>
      </c>
      <c r="B420" s="323" t="s">
        <v>923</v>
      </c>
      <c r="C420" s="324" t="s">
        <v>881</v>
      </c>
      <c r="D420" s="324" t="s">
        <v>81</v>
      </c>
      <c r="E420" s="323">
        <v>850</v>
      </c>
      <c r="F420" s="221">
        <f>'приложение 4'!Q463</f>
        <v>1.7000000000000002</v>
      </c>
      <c r="G420" s="221">
        <f>'приложение 4'!R463</f>
        <v>1.7</v>
      </c>
    </row>
    <row r="421" spans="1:7" ht="31.5">
      <c r="A421" s="294" t="s">
        <v>277</v>
      </c>
      <c r="B421" s="323" t="s">
        <v>923</v>
      </c>
      <c r="C421" s="324" t="s">
        <v>881</v>
      </c>
      <c r="D421" s="324" t="s">
        <v>88</v>
      </c>
      <c r="E421" s="323">
        <v>240</v>
      </c>
      <c r="F421" s="221">
        <f>'приложение 4'!Q472</f>
        <v>51.3</v>
      </c>
      <c r="G421" s="221">
        <f>'приложение 4'!R472</f>
        <v>50.4</v>
      </c>
    </row>
    <row r="422" spans="1:7" ht="15.75">
      <c r="A422" s="297" t="str">
        <f>A400</f>
        <v>Уплата налогов, сборов и иных платежей</v>
      </c>
      <c r="B422" s="323" t="s">
        <v>923</v>
      </c>
      <c r="C422" s="324" t="s">
        <v>881</v>
      </c>
      <c r="D422" s="324" t="s">
        <v>88</v>
      </c>
      <c r="E422" s="323">
        <v>850</v>
      </c>
      <c r="F422" s="221">
        <f>'приложение 4'!Q473</f>
        <v>10.400000000000006</v>
      </c>
      <c r="G422" s="221">
        <f>'приложение 4'!R473</f>
        <v>0</v>
      </c>
    </row>
    <row r="423" spans="1:7" ht="31.5" hidden="1">
      <c r="A423" s="294" t="s">
        <v>277</v>
      </c>
      <c r="B423" s="323" t="s">
        <v>923</v>
      </c>
      <c r="C423" s="324" t="s">
        <v>881</v>
      </c>
      <c r="D423" s="324" t="s">
        <v>99</v>
      </c>
      <c r="E423" s="323">
        <v>240</v>
      </c>
      <c r="F423" s="344">
        <f>'приложение 4'!Q518</f>
        <v>0</v>
      </c>
      <c r="G423" s="221">
        <f>'приложение 4'!R518</f>
        <v>0</v>
      </c>
    </row>
    <row r="424" spans="1:7" ht="15.75">
      <c r="A424" s="297" t="s">
        <v>278</v>
      </c>
      <c r="B424" s="323" t="s">
        <v>923</v>
      </c>
      <c r="C424" s="324" t="s">
        <v>881</v>
      </c>
      <c r="D424" s="324" t="s">
        <v>159</v>
      </c>
      <c r="E424" s="323">
        <v>850</v>
      </c>
      <c r="F424" s="221">
        <f>'приложение 4'!Q551</f>
        <v>10</v>
      </c>
      <c r="G424" s="221">
        <f>'приложение 4'!R551</f>
        <v>5.5</v>
      </c>
    </row>
    <row r="425" spans="1:7" ht="15.75">
      <c r="A425" s="343" t="s">
        <v>456</v>
      </c>
      <c r="B425" s="323" t="s">
        <v>924</v>
      </c>
      <c r="C425" s="324" t="s">
        <v>881</v>
      </c>
      <c r="D425" s="324" t="s">
        <v>88</v>
      </c>
      <c r="E425" s="323"/>
      <c r="F425" s="221">
        <f>F426</f>
        <v>717</v>
      </c>
      <c r="G425" s="221">
        <f>G426</f>
        <v>717</v>
      </c>
    </row>
    <row r="426" spans="1:7" ht="31.5">
      <c r="A426" s="294" t="s">
        <v>277</v>
      </c>
      <c r="B426" s="323" t="s">
        <v>924</v>
      </c>
      <c r="C426" s="324" t="s">
        <v>881</v>
      </c>
      <c r="D426" s="324" t="s">
        <v>88</v>
      </c>
      <c r="E426" s="323">
        <v>240</v>
      </c>
      <c r="F426" s="221">
        <f>'приложение 4'!Q475</f>
        <v>717</v>
      </c>
      <c r="G426" s="221">
        <f>'приложение 4'!R475</f>
        <v>717</v>
      </c>
    </row>
    <row r="427" spans="1:7" ht="47.25">
      <c r="A427" s="297" t="s">
        <v>458</v>
      </c>
      <c r="B427" s="323" t="s">
        <v>925</v>
      </c>
      <c r="C427" s="324"/>
      <c r="D427" s="324"/>
      <c r="E427" s="323"/>
      <c r="F427" s="221">
        <f>F428</f>
        <v>85.10000000000001</v>
      </c>
      <c r="G427" s="221">
        <f>G428</f>
        <v>85.1</v>
      </c>
    </row>
    <row r="428" spans="1:7" ht="15.75">
      <c r="A428" s="297" t="s">
        <v>210</v>
      </c>
      <c r="B428" s="323" t="s">
        <v>925</v>
      </c>
      <c r="C428" s="324" t="s">
        <v>881</v>
      </c>
      <c r="D428" s="324" t="s">
        <v>81</v>
      </c>
      <c r="E428" s="323">
        <v>120</v>
      </c>
      <c r="F428" s="221">
        <f>'приложение 4'!Q465</f>
        <v>85.10000000000001</v>
      </c>
      <c r="G428" s="221">
        <f>'приложение 4'!R465</f>
        <v>85.1</v>
      </c>
    </row>
    <row r="429" spans="1:7" ht="31.5">
      <c r="A429" s="308" t="s">
        <v>353</v>
      </c>
      <c r="B429" s="323" t="s">
        <v>926</v>
      </c>
      <c r="C429" s="324"/>
      <c r="D429" s="324"/>
      <c r="E429" s="323"/>
      <c r="F429" s="221">
        <f>F430</f>
        <v>2200</v>
      </c>
      <c r="G429" s="221">
        <f>G430</f>
        <v>2200</v>
      </c>
    </row>
    <row r="430" spans="1:7" ht="15.75">
      <c r="A430" s="297" t="s">
        <v>210</v>
      </c>
      <c r="B430" s="323" t="s">
        <v>926</v>
      </c>
      <c r="C430" s="324" t="s">
        <v>881</v>
      </c>
      <c r="D430" s="324" t="s">
        <v>81</v>
      </c>
      <c r="E430" s="323">
        <v>120</v>
      </c>
      <c r="F430" s="221">
        <f>'приложение 4'!Q467</f>
        <v>2200</v>
      </c>
      <c r="G430" s="221">
        <f>'приложение 4'!R467</f>
        <v>2200</v>
      </c>
    </row>
    <row r="431" spans="1:7" ht="31.5">
      <c r="A431" s="299" t="s">
        <v>631</v>
      </c>
      <c r="B431" s="323" t="s">
        <v>927</v>
      </c>
      <c r="C431" s="324"/>
      <c r="D431" s="324"/>
      <c r="E431" s="323"/>
      <c r="F431" s="221">
        <f>F432+F433</f>
        <v>498.29999999999995</v>
      </c>
      <c r="G431" s="221">
        <f>G432+G433</f>
        <v>498.3</v>
      </c>
    </row>
    <row r="432" spans="1:7" ht="15.75">
      <c r="A432" s="297" t="s">
        <v>210</v>
      </c>
      <c r="B432" s="323" t="s">
        <v>927</v>
      </c>
      <c r="C432" s="324" t="s">
        <v>881</v>
      </c>
      <c r="D432" s="324" t="s">
        <v>928</v>
      </c>
      <c r="E432" s="323">
        <v>120</v>
      </c>
      <c r="F432" s="221">
        <f>'приложение 4'!Q481</f>
        <v>471.7</v>
      </c>
      <c r="G432" s="221">
        <f>'приложение 4'!R481</f>
        <v>471.7</v>
      </c>
    </row>
    <row r="433" spans="1:7" ht="31.5">
      <c r="A433" s="294" t="s">
        <v>277</v>
      </c>
      <c r="B433" s="323" t="s">
        <v>927</v>
      </c>
      <c r="C433" s="324" t="s">
        <v>881</v>
      </c>
      <c r="D433" s="324" t="s">
        <v>928</v>
      </c>
      <c r="E433" s="323">
        <v>240</v>
      </c>
      <c r="F433" s="221">
        <f>'приложение 4'!Q482</f>
        <v>26.599999999999966</v>
      </c>
      <c r="G433" s="221">
        <f>'приложение 4'!R482</f>
        <v>26.6</v>
      </c>
    </row>
    <row r="434" spans="1:7" ht="15.75">
      <c r="A434" s="297" t="s">
        <v>65</v>
      </c>
      <c r="B434" s="323" t="s">
        <v>929</v>
      </c>
      <c r="C434" s="324"/>
      <c r="D434" s="324"/>
      <c r="E434" s="323"/>
      <c r="F434" s="221">
        <f>F436+F435</f>
        <v>12473.1</v>
      </c>
      <c r="G434" s="221">
        <f>G436+G435</f>
        <v>12473.1</v>
      </c>
    </row>
    <row r="435" spans="1:7" ht="15.75">
      <c r="A435" s="297" t="s">
        <v>279</v>
      </c>
      <c r="B435" s="323" t="s">
        <v>929</v>
      </c>
      <c r="C435" s="324" t="s">
        <v>881</v>
      </c>
      <c r="D435" s="324" t="s">
        <v>159</v>
      </c>
      <c r="E435" s="323">
        <v>610</v>
      </c>
      <c r="F435" s="221">
        <f>'приложение 4'!Q553</f>
        <v>679.2</v>
      </c>
      <c r="G435" s="221">
        <f>'приложение 4'!R553</f>
        <v>679.2</v>
      </c>
    </row>
    <row r="436" spans="1:7" ht="15.75">
      <c r="A436" s="297" t="s">
        <v>279</v>
      </c>
      <c r="B436" s="323" t="s">
        <v>929</v>
      </c>
      <c r="C436" s="324" t="s">
        <v>881</v>
      </c>
      <c r="D436" s="324" t="s">
        <v>393</v>
      </c>
      <c r="E436" s="323">
        <v>610</v>
      </c>
      <c r="F436" s="221">
        <f>'приложение 4'!Q572</f>
        <v>11793.9</v>
      </c>
      <c r="G436" s="221">
        <f>'приложение 4'!R572</f>
        <v>11793.9</v>
      </c>
    </row>
    <row r="437" spans="1:7" ht="15.75">
      <c r="A437" s="297" t="s">
        <v>11</v>
      </c>
      <c r="B437" s="323" t="s">
        <v>930</v>
      </c>
      <c r="C437" s="324"/>
      <c r="D437" s="324"/>
      <c r="E437" s="323"/>
      <c r="F437" s="221">
        <f>F438</f>
        <v>683.9000000000001</v>
      </c>
      <c r="G437" s="221">
        <f>G438</f>
        <v>683.9</v>
      </c>
    </row>
    <row r="438" spans="1:7" ht="31.5">
      <c r="A438" s="297" t="str">
        <f>A433</f>
        <v>Иные закупки товаров, работ и услуг для обеспечения государственных (муниципальных) нужд</v>
      </c>
      <c r="B438" s="323" t="s">
        <v>930</v>
      </c>
      <c r="C438" s="324" t="s">
        <v>881</v>
      </c>
      <c r="D438" s="324" t="s">
        <v>393</v>
      </c>
      <c r="E438" s="323">
        <v>240</v>
      </c>
      <c r="F438" s="221">
        <f>'приложение 4'!Q574</f>
        <v>683.9000000000001</v>
      </c>
      <c r="G438" s="221">
        <f>'приложение 4'!R574</f>
        <v>683.9</v>
      </c>
    </row>
    <row r="439" spans="1:7" ht="15.75">
      <c r="A439" s="297" t="s">
        <v>638</v>
      </c>
      <c r="B439" s="323" t="s">
        <v>931</v>
      </c>
      <c r="C439" s="324"/>
      <c r="D439" s="324"/>
      <c r="E439" s="323"/>
      <c r="F439" s="221">
        <f>F440</f>
        <v>401.8</v>
      </c>
      <c r="G439" s="221">
        <f>G440</f>
        <v>401.8</v>
      </c>
    </row>
    <row r="440" spans="1:7" ht="15.75">
      <c r="A440" s="297" t="s">
        <v>279</v>
      </c>
      <c r="B440" s="323" t="s">
        <v>931</v>
      </c>
      <c r="C440" s="324" t="s">
        <v>881</v>
      </c>
      <c r="D440" s="324" t="s">
        <v>106</v>
      </c>
      <c r="E440" s="323">
        <v>610</v>
      </c>
      <c r="F440" s="221">
        <f>'приложение 4'!Q511</f>
        <v>401.8</v>
      </c>
      <c r="G440" s="221">
        <f>'приложение 4'!R511</f>
        <v>401.8</v>
      </c>
    </row>
    <row r="441" spans="1:7" ht="63">
      <c r="A441" s="294" t="s">
        <v>658</v>
      </c>
      <c r="B441" s="323" t="s">
        <v>932</v>
      </c>
      <c r="C441" s="324"/>
      <c r="D441" s="324"/>
      <c r="E441" s="323"/>
      <c r="F441" s="221">
        <f>F442</f>
        <v>451</v>
      </c>
      <c r="G441" s="221">
        <f>G442</f>
        <v>339.5</v>
      </c>
    </row>
    <row r="442" spans="1:7" ht="31.5">
      <c r="A442" s="294" t="s">
        <v>277</v>
      </c>
      <c r="B442" s="323" t="s">
        <v>932</v>
      </c>
      <c r="C442" s="324" t="s">
        <v>881</v>
      </c>
      <c r="D442" s="324" t="s">
        <v>393</v>
      </c>
      <c r="E442" s="323">
        <v>240</v>
      </c>
      <c r="F442" s="221">
        <f>'приложение 4'!Q576</f>
        <v>451</v>
      </c>
      <c r="G442" s="221">
        <f>'приложение 4'!R576</f>
        <v>339.5</v>
      </c>
    </row>
    <row r="443" spans="1:7" ht="15.75" hidden="1">
      <c r="A443" s="297" t="s">
        <v>612</v>
      </c>
      <c r="B443" s="323" t="s">
        <v>933</v>
      </c>
      <c r="C443" s="324"/>
      <c r="D443" s="324"/>
      <c r="E443" s="323"/>
      <c r="F443" s="344">
        <f>F444</f>
        <v>0</v>
      </c>
      <c r="G443" s="221">
        <f>G444</f>
        <v>0</v>
      </c>
    </row>
    <row r="444" spans="1:7" ht="15.75" hidden="1">
      <c r="A444" s="334" t="s">
        <v>281</v>
      </c>
      <c r="B444" s="323" t="s">
        <v>933</v>
      </c>
      <c r="C444" s="324" t="s">
        <v>881</v>
      </c>
      <c r="D444" s="324" t="s">
        <v>396</v>
      </c>
      <c r="E444" s="323">
        <v>310</v>
      </c>
      <c r="F444" s="344">
        <f>'приложение 4'!Q586</f>
        <v>0</v>
      </c>
      <c r="G444" s="221">
        <f>'приложение 4'!R586</f>
        <v>0</v>
      </c>
    </row>
    <row r="445" spans="1:7" ht="31.5">
      <c r="A445" s="314" t="s">
        <v>640</v>
      </c>
      <c r="B445" s="323" t="s">
        <v>934</v>
      </c>
      <c r="C445" s="324"/>
      <c r="D445" s="324"/>
      <c r="E445" s="323"/>
      <c r="F445" s="221">
        <f>F446</f>
        <v>389.40000000000003</v>
      </c>
      <c r="G445" s="221">
        <f>G446</f>
        <v>333.8</v>
      </c>
    </row>
    <row r="446" spans="1:7" ht="31.5">
      <c r="A446" s="294" t="s">
        <v>277</v>
      </c>
      <c r="B446" s="323" t="s">
        <v>934</v>
      </c>
      <c r="C446" s="324" t="s">
        <v>881</v>
      </c>
      <c r="D446" s="324" t="s">
        <v>106</v>
      </c>
      <c r="E446" s="323">
        <v>240</v>
      </c>
      <c r="F446" s="221">
        <f>'приложение 4'!Q513</f>
        <v>389.40000000000003</v>
      </c>
      <c r="G446" s="221">
        <f>'приложение 4'!R513</f>
        <v>333.8</v>
      </c>
    </row>
    <row r="447" spans="1:7" ht="15.75">
      <c r="A447" s="336" t="s">
        <v>456</v>
      </c>
      <c r="B447" s="323" t="s">
        <v>935</v>
      </c>
      <c r="C447" s="324"/>
      <c r="D447" s="324"/>
      <c r="E447" s="323"/>
      <c r="F447" s="221">
        <f>F448+F449</f>
        <v>3624</v>
      </c>
      <c r="G447" s="221">
        <f>G448+G449</f>
        <v>3181</v>
      </c>
    </row>
    <row r="448" spans="1:7" ht="31.5" hidden="1">
      <c r="A448" s="297" t="s">
        <v>277</v>
      </c>
      <c r="B448" s="323" t="s">
        <v>935</v>
      </c>
      <c r="C448" s="324" t="s">
        <v>881</v>
      </c>
      <c r="D448" s="324" t="s">
        <v>99</v>
      </c>
      <c r="E448" s="323">
        <v>240</v>
      </c>
      <c r="F448" s="344">
        <f>'приложение 4'!Q520</f>
        <v>0</v>
      </c>
      <c r="G448" s="221">
        <f>'приложение 4'!R520</f>
        <v>0</v>
      </c>
    </row>
    <row r="449" spans="1:7" ht="31.5">
      <c r="A449" s="297" t="s">
        <v>277</v>
      </c>
      <c r="B449" s="323" t="s">
        <v>935</v>
      </c>
      <c r="C449" s="324" t="s">
        <v>881</v>
      </c>
      <c r="D449" s="324" t="s">
        <v>159</v>
      </c>
      <c r="E449" s="323">
        <v>240</v>
      </c>
      <c r="F449" s="221">
        <f>'приложение 4'!Q555</f>
        <v>3624</v>
      </c>
      <c r="G449" s="221">
        <f>'приложение 4'!R555</f>
        <v>3181</v>
      </c>
    </row>
    <row r="450" spans="1:7" ht="31.5">
      <c r="A450" s="315" t="s">
        <v>692</v>
      </c>
      <c r="B450" s="330" t="s">
        <v>936</v>
      </c>
      <c r="C450" s="331"/>
      <c r="D450" s="331"/>
      <c r="E450" s="330"/>
      <c r="F450" s="222">
        <f>F451+F460+F464+F466+F462+F468+F458+F456</f>
        <v>8165.100000000001</v>
      </c>
      <c r="G450" s="222">
        <f>G451+G460+G464+G466+G462+G468+G458+G456</f>
        <v>7846.900000000001</v>
      </c>
    </row>
    <row r="451" spans="1:7" ht="15.75">
      <c r="A451" s="294" t="s">
        <v>64</v>
      </c>
      <c r="B451" s="323" t="s">
        <v>937</v>
      </c>
      <c r="C451" s="324"/>
      <c r="D451" s="324"/>
      <c r="E451" s="323"/>
      <c r="F451" s="221">
        <f>F452+F453+F454+F455</f>
        <v>3580.7000000000003</v>
      </c>
      <c r="G451" s="221">
        <f>G452+G453+G454+G455</f>
        <v>3433.8</v>
      </c>
    </row>
    <row r="452" spans="1:7" ht="15.75">
      <c r="A452" s="297" t="s">
        <v>210</v>
      </c>
      <c r="B452" s="323" t="s">
        <v>937</v>
      </c>
      <c r="C452" s="324" t="s">
        <v>698</v>
      </c>
      <c r="D452" s="324" t="s">
        <v>81</v>
      </c>
      <c r="E452" s="323">
        <v>120</v>
      </c>
      <c r="F452" s="221">
        <f>'приложение 4'!Q813</f>
        <v>2208.0000000000005</v>
      </c>
      <c r="G452" s="221">
        <f>'приложение 4'!R813</f>
        <v>2208</v>
      </c>
    </row>
    <row r="453" spans="1:7" ht="31.5">
      <c r="A453" s="294" t="s">
        <v>277</v>
      </c>
      <c r="B453" s="323" t="s">
        <v>937</v>
      </c>
      <c r="C453" s="324" t="s">
        <v>698</v>
      </c>
      <c r="D453" s="324" t="s">
        <v>81</v>
      </c>
      <c r="E453" s="323">
        <v>240</v>
      </c>
      <c r="F453" s="221">
        <f>'приложение 4'!Q814</f>
        <v>1305.1999999999998</v>
      </c>
      <c r="G453" s="221">
        <f>'приложение 4'!R814</f>
        <v>1158.3</v>
      </c>
    </row>
    <row r="454" spans="1:7" ht="15.75">
      <c r="A454" s="294" t="str">
        <f>A420</f>
        <v>Уплата налогов, сборов и иных платежей</v>
      </c>
      <c r="B454" s="323" t="s">
        <v>937</v>
      </c>
      <c r="C454" s="324" t="s">
        <v>698</v>
      </c>
      <c r="D454" s="324" t="s">
        <v>81</v>
      </c>
      <c r="E454" s="323">
        <v>850</v>
      </c>
      <c r="F454" s="221">
        <f>'приложение 4'!Q815</f>
        <v>67.5</v>
      </c>
      <c r="G454" s="221">
        <f>'приложение 4'!R815</f>
        <v>67.5</v>
      </c>
    </row>
    <row r="455" spans="1:7" ht="31.5" hidden="1">
      <c r="A455" s="294" t="s">
        <v>277</v>
      </c>
      <c r="B455" s="323" t="s">
        <v>937</v>
      </c>
      <c r="C455" s="324" t="s">
        <v>698</v>
      </c>
      <c r="D455" s="324" t="s">
        <v>99</v>
      </c>
      <c r="E455" s="323">
        <v>240</v>
      </c>
      <c r="F455" s="344">
        <f>'приложение 4'!Q847</f>
        <v>0</v>
      </c>
      <c r="G455" s="221">
        <f>'приложение 4'!R847</f>
        <v>0</v>
      </c>
    </row>
    <row r="456" spans="1:7" s="196" customFormat="1" ht="15.75">
      <c r="A456" s="341" t="s">
        <v>456</v>
      </c>
      <c r="B456" s="323" t="s">
        <v>938</v>
      </c>
      <c r="C456" s="324" t="s">
        <v>698</v>
      </c>
      <c r="D456" s="324" t="s">
        <v>88</v>
      </c>
      <c r="E456" s="323"/>
      <c r="F456" s="221">
        <f>F457</f>
        <v>84.39999999999999</v>
      </c>
      <c r="G456" s="221">
        <f>G457</f>
        <v>84.4</v>
      </c>
    </row>
    <row r="457" spans="1:7" ht="31.5">
      <c r="A457" s="294" t="s">
        <v>277</v>
      </c>
      <c r="B457" s="323" t="s">
        <v>938</v>
      </c>
      <c r="C457" s="324" t="s">
        <v>698</v>
      </c>
      <c r="D457" s="324" t="s">
        <v>88</v>
      </c>
      <c r="E457" s="323">
        <v>240</v>
      </c>
      <c r="F457" s="221">
        <f>'приложение 4'!Q822</f>
        <v>84.39999999999999</v>
      </c>
      <c r="G457" s="221">
        <f>'приложение 4'!R822</f>
        <v>84.4</v>
      </c>
    </row>
    <row r="458" spans="1:7" ht="15.75">
      <c r="A458" s="343" t="s">
        <v>217</v>
      </c>
      <c r="B458" s="323" t="s">
        <v>939</v>
      </c>
      <c r="C458" s="324"/>
      <c r="D458" s="324"/>
      <c r="E458" s="323"/>
      <c r="F458" s="221">
        <f>F459</f>
        <v>3.2</v>
      </c>
      <c r="G458" s="221">
        <f>G459</f>
        <v>3.2</v>
      </c>
    </row>
    <row r="459" spans="1:7" ht="15.75">
      <c r="A459" s="294" t="s">
        <v>278</v>
      </c>
      <c r="B459" s="323" t="s">
        <v>939</v>
      </c>
      <c r="C459" s="324" t="s">
        <v>698</v>
      </c>
      <c r="D459" s="324" t="s">
        <v>100</v>
      </c>
      <c r="E459" s="323">
        <v>850</v>
      </c>
      <c r="F459" s="221">
        <f>'приложение 4'!Q880</f>
        <v>3.2</v>
      </c>
      <c r="G459" s="221">
        <f>'приложение 4'!R880</f>
        <v>3.2</v>
      </c>
    </row>
    <row r="460" spans="1:7" ht="31.5">
      <c r="A460" s="338" t="s">
        <v>353</v>
      </c>
      <c r="B460" s="323" t="s">
        <v>940</v>
      </c>
      <c r="C460" s="324"/>
      <c r="D460" s="324"/>
      <c r="E460" s="323"/>
      <c r="F460" s="221">
        <f>F461</f>
        <v>1690</v>
      </c>
      <c r="G460" s="221">
        <f>G461</f>
        <v>1690</v>
      </c>
    </row>
    <row r="461" spans="1:7" ht="15.75">
      <c r="A461" s="297" t="s">
        <v>210</v>
      </c>
      <c r="B461" s="323" t="s">
        <v>940</v>
      </c>
      <c r="C461" s="324" t="s">
        <v>698</v>
      </c>
      <c r="D461" s="324" t="s">
        <v>81</v>
      </c>
      <c r="E461" s="323">
        <v>120</v>
      </c>
      <c r="F461" s="221">
        <f>'приложение 4'!Q817</f>
        <v>1690</v>
      </c>
      <c r="G461" s="221">
        <f>'приложение 4'!R817</f>
        <v>1690</v>
      </c>
    </row>
    <row r="462" spans="1:7" ht="31.5">
      <c r="A462" s="299" t="s">
        <v>631</v>
      </c>
      <c r="B462" s="323" t="s">
        <v>941</v>
      </c>
      <c r="C462" s="324"/>
      <c r="D462" s="324"/>
      <c r="E462" s="323"/>
      <c r="F462" s="221">
        <f>F463</f>
        <v>249.1</v>
      </c>
      <c r="G462" s="221">
        <f>G463</f>
        <v>249.1</v>
      </c>
    </row>
    <row r="463" spans="1:7" ht="15.75">
      <c r="A463" s="297" t="s">
        <v>210</v>
      </c>
      <c r="B463" s="323" t="s">
        <v>941</v>
      </c>
      <c r="C463" s="324" t="s">
        <v>698</v>
      </c>
      <c r="D463" s="324" t="s">
        <v>928</v>
      </c>
      <c r="E463" s="323">
        <v>120</v>
      </c>
      <c r="F463" s="221">
        <f>'приложение 4'!Q828</f>
        <v>249.1</v>
      </c>
      <c r="G463" s="221">
        <f>'приложение 4'!R828</f>
        <v>249.1</v>
      </c>
    </row>
    <row r="464" spans="1:7" ht="15.75" hidden="1">
      <c r="A464" s="316" t="s">
        <v>612</v>
      </c>
      <c r="B464" s="323" t="s">
        <v>942</v>
      </c>
      <c r="C464" s="324"/>
      <c r="D464" s="324"/>
      <c r="E464" s="323"/>
      <c r="F464" s="344">
        <f>F465</f>
        <v>0</v>
      </c>
      <c r="G464" s="221">
        <f>G465</f>
        <v>0</v>
      </c>
    </row>
    <row r="465" spans="1:7" ht="15.75" hidden="1">
      <c r="A465" s="334" t="s">
        <v>281</v>
      </c>
      <c r="B465" s="323" t="s">
        <v>942</v>
      </c>
      <c r="C465" s="324" t="s">
        <v>698</v>
      </c>
      <c r="D465" s="324" t="s">
        <v>396</v>
      </c>
      <c r="E465" s="323">
        <v>310</v>
      </c>
      <c r="F465" s="344">
        <f>'приложение 4'!Q886</f>
        <v>0</v>
      </c>
      <c r="G465" s="221">
        <f>'приложение 4'!R886</f>
        <v>0</v>
      </c>
    </row>
    <row r="466" spans="1:7" ht="63">
      <c r="A466" s="294" t="s">
        <v>658</v>
      </c>
      <c r="B466" s="323" t="s">
        <v>943</v>
      </c>
      <c r="C466" s="324"/>
      <c r="D466" s="324"/>
      <c r="E466" s="323"/>
      <c r="F466" s="221">
        <f>F467</f>
        <v>138.1</v>
      </c>
      <c r="G466" s="221">
        <f>G467</f>
        <v>128.3</v>
      </c>
    </row>
    <row r="467" spans="1:7" ht="31.5">
      <c r="A467" s="294" t="s">
        <v>277</v>
      </c>
      <c r="B467" s="323" t="s">
        <v>943</v>
      </c>
      <c r="C467" s="324" t="s">
        <v>698</v>
      </c>
      <c r="D467" s="324" t="s">
        <v>393</v>
      </c>
      <c r="E467" s="323">
        <v>240</v>
      </c>
      <c r="F467" s="221">
        <f>'приложение 4'!Q869</f>
        <v>138.1</v>
      </c>
      <c r="G467" s="221">
        <f>'приложение 4'!R869</f>
        <v>128.3</v>
      </c>
    </row>
    <row r="468" spans="1:7" ht="15.75">
      <c r="A468" s="334" t="s">
        <v>456</v>
      </c>
      <c r="B468" s="323" t="s">
        <v>944</v>
      </c>
      <c r="C468" s="324"/>
      <c r="D468" s="324"/>
      <c r="E468" s="323"/>
      <c r="F468" s="221">
        <f>F469+F470</f>
        <v>2419.6</v>
      </c>
      <c r="G468" s="221">
        <f>G469+G470</f>
        <v>2258.1</v>
      </c>
    </row>
    <row r="469" spans="1:7" ht="31.5">
      <c r="A469" s="294" t="s">
        <v>277</v>
      </c>
      <c r="B469" s="323" t="s">
        <v>944</v>
      </c>
      <c r="C469" s="324" t="s">
        <v>698</v>
      </c>
      <c r="D469" s="324" t="s">
        <v>99</v>
      </c>
      <c r="E469" s="323">
        <v>240</v>
      </c>
      <c r="F469" s="221">
        <f>'приложение 4'!Q849</f>
        <v>60</v>
      </c>
      <c r="G469" s="221">
        <f>'приложение 4'!R849</f>
        <v>60</v>
      </c>
    </row>
    <row r="470" spans="1:7" ht="31.5">
      <c r="A470" s="294" t="s">
        <v>277</v>
      </c>
      <c r="B470" s="323" t="s">
        <v>944</v>
      </c>
      <c r="C470" s="324" t="s">
        <v>698</v>
      </c>
      <c r="D470" s="324" t="s">
        <v>159</v>
      </c>
      <c r="E470" s="323">
        <v>240</v>
      </c>
      <c r="F470" s="221">
        <f>'приложение 4'!Q854</f>
        <v>2359.6</v>
      </c>
      <c r="G470" s="221">
        <f>'приложение 4'!R854</f>
        <v>2198.1</v>
      </c>
    </row>
    <row r="471" spans="1:7" ht="31.5">
      <c r="A471" s="315" t="s">
        <v>700</v>
      </c>
      <c r="B471" s="330" t="s">
        <v>945</v>
      </c>
      <c r="C471" s="331"/>
      <c r="D471" s="331"/>
      <c r="E471" s="330"/>
      <c r="F471" s="222">
        <f>F472+F481+F483+F485+F487+F489+F477+F479</f>
        <v>15426.400000000001</v>
      </c>
      <c r="G471" s="222">
        <f>G472+G481+G483+G485+G487+G489+G477+G479</f>
        <v>14757.800000000001</v>
      </c>
    </row>
    <row r="472" spans="1:7" ht="15.75">
      <c r="A472" s="294" t="s">
        <v>64</v>
      </c>
      <c r="B472" s="323" t="s">
        <v>946</v>
      </c>
      <c r="C472" s="324"/>
      <c r="D472" s="324"/>
      <c r="E472" s="323"/>
      <c r="F472" s="221">
        <f>F473+F474+F475+F476</f>
        <v>4570.5</v>
      </c>
      <c r="G472" s="221">
        <f>G473+G474+G475+G476</f>
        <v>4530.9</v>
      </c>
    </row>
    <row r="473" spans="1:7" ht="15.75">
      <c r="A473" s="297" t="s">
        <v>210</v>
      </c>
      <c r="B473" s="323" t="s">
        <v>946</v>
      </c>
      <c r="C473" s="324" t="s">
        <v>855</v>
      </c>
      <c r="D473" s="324" t="s">
        <v>81</v>
      </c>
      <c r="E473" s="323">
        <v>120</v>
      </c>
      <c r="F473" s="221">
        <f>'приложение 4'!Q893</f>
        <v>3703.9</v>
      </c>
      <c r="G473" s="221">
        <f>'приложение 4'!R893</f>
        <v>3703.9</v>
      </c>
    </row>
    <row r="474" spans="1:7" ht="31.5">
      <c r="A474" s="294" t="s">
        <v>277</v>
      </c>
      <c r="B474" s="323" t="s">
        <v>946</v>
      </c>
      <c r="C474" s="324" t="s">
        <v>855</v>
      </c>
      <c r="D474" s="324" t="s">
        <v>81</v>
      </c>
      <c r="E474" s="323">
        <v>240</v>
      </c>
      <c r="F474" s="221">
        <f>'приложение 4'!Q894</f>
        <v>841.8000000000001</v>
      </c>
      <c r="G474" s="221">
        <f>'приложение 4'!R894</f>
        <v>806.1</v>
      </c>
    </row>
    <row r="475" spans="1:7" ht="15.75">
      <c r="A475" s="294" t="str">
        <f>A454</f>
        <v>Уплата налогов, сборов и иных платежей</v>
      </c>
      <c r="B475" s="323" t="s">
        <v>946</v>
      </c>
      <c r="C475" s="324" t="s">
        <v>855</v>
      </c>
      <c r="D475" s="324" t="s">
        <v>81</v>
      </c>
      <c r="E475" s="323">
        <v>850</v>
      </c>
      <c r="F475" s="221">
        <f>'приложение 4'!Q895</f>
        <v>24.8</v>
      </c>
      <c r="G475" s="221">
        <f>'приложение 4'!R895</f>
        <v>20.9</v>
      </c>
    </row>
    <row r="476" spans="1:7" ht="31.5" hidden="1">
      <c r="A476" s="294" t="s">
        <v>277</v>
      </c>
      <c r="B476" s="323" t="s">
        <v>946</v>
      </c>
      <c r="C476" s="324" t="s">
        <v>855</v>
      </c>
      <c r="D476" s="324" t="s">
        <v>99</v>
      </c>
      <c r="E476" s="323">
        <v>240</v>
      </c>
      <c r="F476" s="344">
        <f>'приложение 4'!Q929</f>
        <v>0</v>
      </c>
      <c r="G476" s="221">
        <f>'приложение 4'!R929</f>
        <v>0</v>
      </c>
    </row>
    <row r="477" spans="1:7" ht="15.75">
      <c r="A477" s="341" t="s">
        <v>456</v>
      </c>
      <c r="B477" s="323" t="s">
        <v>947</v>
      </c>
      <c r="C477" s="324" t="s">
        <v>855</v>
      </c>
      <c r="D477" s="324" t="s">
        <v>88</v>
      </c>
      <c r="E477" s="323"/>
      <c r="F477" s="221">
        <f>F478</f>
        <v>146.70000000000002</v>
      </c>
      <c r="G477" s="221">
        <f>G478</f>
        <v>146.7</v>
      </c>
    </row>
    <row r="478" spans="1:7" ht="31.5">
      <c r="A478" s="294" t="s">
        <v>277</v>
      </c>
      <c r="B478" s="323" t="s">
        <v>947</v>
      </c>
      <c r="C478" s="324" t="s">
        <v>855</v>
      </c>
      <c r="D478" s="324" t="s">
        <v>88</v>
      </c>
      <c r="E478" s="323">
        <v>240</v>
      </c>
      <c r="F478" s="221">
        <f>'приложение 4'!Q904</f>
        <v>146.70000000000002</v>
      </c>
      <c r="G478" s="221">
        <f>'приложение 4'!R904</f>
        <v>146.7</v>
      </c>
    </row>
    <row r="479" spans="1:7" ht="47.25">
      <c r="A479" s="294" t="s">
        <v>458</v>
      </c>
      <c r="B479" s="323" t="s">
        <v>948</v>
      </c>
      <c r="C479" s="324"/>
      <c r="D479" s="324"/>
      <c r="E479" s="323"/>
      <c r="F479" s="221">
        <f>F480</f>
        <v>34.1</v>
      </c>
      <c r="G479" s="221">
        <f>G480</f>
        <v>34.1</v>
      </c>
    </row>
    <row r="480" spans="1:7" ht="15.75">
      <c r="A480" s="294" t="s">
        <v>210</v>
      </c>
      <c r="B480" s="323" t="s">
        <v>948</v>
      </c>
      <c r="C480" s="324" t="s">
        <v>855</v>
      </c>
      <c r="D480" s="324" t="s">
        <v>81</v>
      </c>
      <c r="E480" s="323">
        <v>120</v>
      </c>
      <c r="F480" s="221">
        <f>'приложение 4'!Q897</f>
        <v>34.1</v>
      </c>
      <c r="G480" s="221">
        <f>'приложение 4'!R897</f>
        <v>34.1</v>
      </c>
    </row>
    <row r="481" spans="1:7" ht="31.5">
      <c r="A481" s="294" t="s">
        <v>353</v>
      </c>
      <c r="B481" s="323" t="s">
        <v>949</v>
      </c>
      <c r="C481" s="324"/>
      <c r="D481" s="324"/>
      <c r="E481" s="323"/>
      <c r="F481" s="221">
        <f>F482</f>
        <v>2370.7</v>
      </c>
      <c r="G481" s="221">
        <f>G482</f>
        <v>2370.7</v>
      </c>
    </row>
    <row r="482" spans="1:7" ht="15.75">
      <c r="A482" s="297" t="s">
        <v>210</v>
      </c>
      <c r="B482" s="323" t="s">
        <v>949</v>
      </c>
      <c r="C482" s="324" t="s">
        <v>855</v>
      </c>
      <c r="D482" s="324" t="s">
        <v>81</v>
      </c>
      <c r="E482" s="323">
        <v>120</v>
      </c>
      <c r="F482" s="221">
        <f>'приложение 4'!Q899</f>
        <v>2370.7</v>
      </c>
      <c r="G482" s="221">
        <f>'приложение 4'!R899</f>
        <v>2370.7</v>
      </c>
    </row>
    <row r="483" spans="1:7" ht="31.5">
      <c r="A483" s="299" t="s">
        <v>631</v>
      </c>
      <c r="B483" s="323" t="s">
        <v>950</v>
      </c>
      <c r="C483" s="324"/>
      <c r="D483" s="324"/>
      <c r="E483" s="323"/>
      <c r="F483" s="221">
        <f>F484</f>
        <v>249.1</v>
      </c>
      <c r="G483" s="221">
        <f>G484</f>
        <v>249.1</v>
      </c>
    </row>
    <row r="484" spans="1:7" ht="15.75">
      <c r="A484" s="297" t="s">
        <v>210</v>
      </c>
      <c r="B484" s="323" t="s">
        <v>950</v>
      </c>
      <c r="C484" s="324" t="s">
        <v>855</v>
      </c>
      <c r="D484" s="324" t="s">
        <v>928</v>
      </c>
      <c r="E484" s="323">
        <v>120</v>
      </c>
      <c r="F484" s="221">
        <f>'приложение 4'!Q910</f>
        <v>249.1</v>
      </c>
      <c r="G484" s="221">
        <f>'приложение 4'!R910</f>
        <v>249.1</v>
      </c>
    </row>
    <row r="485" spans="1:7" ht="63">
      <c r="A485" s="294" t="s">
        <v>658</v>
      </c>
      <c r="B485" s="323" t="s">
        <v>951</v>
      </c>
      <c r="C485" s="324"/>
      <c r="D485" s="324"/>
      <c r="E485" s="323"/>
      <c r="F485" s="221">
        <f>F486</f>
        <v>925.9000000000001</v>
      </c>
      <c r="G485" s="221">
        <f>G486</f>
        <v>802.1</v>
      </c>
    </row>
    <row r="486" spans="1:7" ht="31.5">
      <c r="A486" s="294" t="s">
        <v>277</v>
      </c>
      <c r="B486" s="323" t="s">
        <v>951</v>
      </c>
      <c r="C486" s="324" t="s">
        <v>855</v>
      </c>
      <c r="D486" s="324" t="s">
        <v>393</v>
      </c>
      <c r="E486" s="323">
        <v>240</v>
      </c>
      <c r="F486" s="221">
        <f>'приложение 4'!Q951</f>
        <v>925.9000000000001</v>
      </c>
      <c r="G486" s="221">
        <f>'приложение 4'!R951</f>
        <v>802.1</v>
      </c>
    </row>
    <row r="487" spans="1:7" s="196" customFormat="1" ht="15.75" hidden="1">
      <c r="A487" s="294" t="s">
        <v>612</v>
      </c>
      <c r="B487" s="323" t="s">
        <v>952</v>
      </c>
      <c r="C487" s="324"/>
      <c r="D487" s="324"/>
      <c r="E487" s="323"/>
      <c r="F487" s="344">
        <f>F488</f>
        <v>0</v>
      </c>
      <c r="G487" s="221">
        <f>G488</f>
        <v>0</v>
      </c>
    </row>
    <row r="488" spans="1:7" ht="15.75" hidden="1">
      <c r="A488" s="334" t="s">
        <v>281</v>
      </c>
      <c r="B488" s="323" t="s">
        <v>952</v>
      </c>
      <c r="C488" s="324" t="s">
        <v>855</v>
      </c>
      <c r="D488" s="324" t="s">
        <v>396</v>
      </c>
      <c r="E488" s="323">
        <v>310</v>
      </c>
      <c r="F488" s="344">
        <f>'приложение 4'!Q962</f>
        <v>0</v>
      </c>
      <c r="G488" s="221">
        <f>'приложение 4'!R962</f>
        <v>0</v>
      </c>
    </row>
    <row r="489" spans="1:7" ht="15.75">
      <c r="A489" s="334" t="s">
        <v>456</v>
      </c>
      <c r="B489" s="323" t="s">
        <v>953</v>
      </c>
      <c r="C489" s="324"/>
      <c r="D489" s="324"/>
      <c r="E489" s="323"/>
      <c r="F489" s="221">
        <f>F490+F491</f>
        <v>7129.4</v>
      </c>
      <c r="G489" s="221">
        <f>G490+G491</f>
        <v>6624.2</v>
      </c>
    </row>
    <row r="490" spans="1:7" ht="31.5">
      <c r="A490" s="294" t="s">
        <v>277</v>
      </c>
      <c r="B490" s="323" t="s">
        <v>953</v>
      </c>
      <c r="C490" s="324" t="s">
        <v>855</v>
      </c>
      <c r="D490" s="324" t="s">
        <v>99</v>
      </c>
      <c r="E490" s="323">
        <v>240</v>
      </c>
      <c r="F490" s="221">
        <f>'приложение 4'!Q931</f>
        <v>150</v>
      </c>
      <c r="G490" s="221">
        <f>'приложение 4'!R931</f>
        <v>149.3</v>
      </c>
    </row>
    <row r="491" spans="1:7" ht="31.5">
      <c r="A491" s="294" t="s">
        <v>277</v>
      </c>
      <c r="B491" s="323" t="s">
        <v>953</v>
      </c>
      <c r="C491" s="324" t="s">
        <v>855</v>
      </c>
      <c r="D491" s="324" t="s">
        <v>159</v>
      </c>
      <c r="E491" s="323">
        <v>240</v>
      </c>
      <c r="F491" s="221">
        <f>'приложение 4'!Q936</f>
        <v>6979.4</v>
      </c>
      <c r="G491" s="221">
        <f>'приложение 4'!R936</f>
        <v>6474.9</v>
      </c>
    </row>
    <row r="492" spans="1:7" ht="31.5">
      <c r="A492" s="317" t="s">
        <v>513</v>
      </c>
      <c r="B492" s="330" t="s">
        <v>954</v>
      </c>
      <c r="C492" s="331"/>
      <c r="D492" s="331"/>
      <c r="E492" s="330"/>
      <c r="F492" s="222">
        <f>F493+F497+F500+F503+F505+F507+F511+F495+F513</f>
        <v>16321.1</v>
      </c>
      <c r="G492" s="222">
        <f>G493+G497+G500+G503+G505+G507+G511+G495+G513</f>
        <v>15087.1</v>
      </c>
    </row>
    <row r="493" spans="1:7" ht="47.25">
      <c r="A493" s="297" t="s">
        <v>301</v>
      </c>
      <c r="B493" s="323" t="s">
        <v>955</v>
      </c>
      <c r="C493" s="324"/>
      <c r="D493" s="324"/>
      <c r="E493" s="323"/>
      <c r="F493" s="221">
        <f>F494</f>
        <v>0.8</v>
      </c>
      <c r="G493" s="221">
        <f>G494</f>
        <v>0.8</v>
      </c>
    </row>
    <row r="494" spans="1:7" ht="31.5">
      <c r="A494" s="297" t="s">
        <v>277</v>
      </c>
      <c r="B494" s="323" t="s">
        <v>955</v>
      </c>
      <c r="C494" s="324" t="s">
        <v>718</v>
      </c>
      <c r="D494" s="324" t="s">
        <v>390</v>
      </c>
      <c r="E494" s="323">
        <v>240</v>
      </c>
      <c r="F494" s="221">
        <f>'приложение 4'!Q78</f>
        <v>0.8</v>
      </c>
      <c r="G494" s="221">
        <f>'приложение 4'!R78</f>
        <v>0.8</v>
      </c>
    </row>
    <row r="495" spans="1:7" ht="47.25">
      <c r="A495" s="297" t="s">
        <v>614</v>
      </c>
      <c r="B495" s="323" t="s">
        <v>956</v>
      </c>
      <c r="C495" s="324"/>
      <c r="D495" s="324"/>
      <c r="E495" s="323"/>
      <c r="F495" s="221">
        <f>F496</f>
        <v>1600</v>
      </c>
      <c r="G495" s="221">
        <f>G496</f>
        <v>1600</v>
      </c>
    </row>
    <row r="496" spans="1:7" ht="31.5">
      <c r="A496" s="293" t="s">
        <v>282</v>
      </c>
      <c r="B496" s="323" t="s">
        <v>956</v>
      </c>
      <c r="C496" s="324" t="s">
        <v>718</v>
      </c>
      <c r="D496" s="324" t="s">
        <v>90</v>
      </c>
      <c r="E496" s="323">
        <v>320</v>
      </c>
      <c r="F496" s="221">
        <f>'приложение 4'!Q412</f>
        <v>1600</v>
      </c>
      <c r="G496" s="221">
        <f>'приложение 4'!R412</f>
        <v>1600</v>
      </c>
    </row>
    <row r="497" spans="1:7" ht="63">
      <c r="A497" s="308" t="s">
        <v>252</v>
      </c>
      <c r="B497" s="323" t="s">
        <v>957</v>
      </c>
      <c r="C497" s="324"/>
      <c r="D497" s="324"/>
      <c r="E497" s="323"/>
      <c r="F497" s="221">
        <f>F498+F499</f>
        <v>402.6</v>
      </c>
      <c r="G497" s="221">
        <f>G498+G499</f>
        <v>402.6</v>
      </c>
    </row>
    <row r="498" spans="1:7" ht="15.75">
      <c r="A498" s="308" t="s">
        <v>210</v>
      </c>
      <c r="B498" s="323" t="s">
        <v>957</v>
      </c>
      <c r="C498" s="324" t="s">
        <v>718</v>
      </c>
      <c r="D498" s="324" t="s">
        <v>88</v>
      </c>
      <c r="E498" s="323">
        <v>120</v>
      </c>
      <c r="F498" s="221">
        <f>'приложение 4'!Q110</f>
        <v>301.3</v>
      </c>
      <c r="G498" s="221">
        <f>'приложение 4'!R110</f>
        <v>301.3</v>
      </c>
    </row>
    <row r="499" spans="1:7" s="196" customFormat="1" ht="31.5">
      <c r="A499" s="308" t="s">
        <v>277</v>
      </c>
      <c r="B499" s="323" t="s">
        <v>957</v>
      </c>
      <c r="C499" s="324" t="s">
        <v>718</v>
      </c>
      <c r="D499" s="324" t="s">
        <v>88</v>
      </c>
      <c r="E499" s="323">
        <v>240</v>
      </c>
      <c r="F499" s="221">
        <f>'приложение 4'!Q111</f>
        <v>101.3</v>
      </c>
      <c r="G499" s="221">
        <f>'приложение 4'!R111</f>
        <v>101.3</v>
      </c>
    </row>
    <row r="500" spans="1:7" ht="15.75">
      <c r="A500" s="296" t="s">
        <v>322</v>
      </c>
      <c r="B500" s="323" t="s">
        <v>958</v>
      </c>
      <c r="C500" s="324" t="s">
        <v>241</v>
      </c>
      <c r="D500" s="324" t="s">
        <v>241</v>
      </c>
      <c r="E500" s="323"/>
      <c r="F500" s="221">
        <f>F501+F502</f>
        <v>927</v>
      </c>
      <c r="G500" s="221">
        <f>G501+G502</f>
        <v>927</v>
      </c>
    </row>
    <row r="501" spans="1:7" ht="15.75">
      <c r="A501" s="308" t="s">
        <v>210</v>
      </c>
      <c r="B501" s="323" t="s">
        <v>958</v>
      </c>
      <c r="C501" s="324" t="s">
        <v>718</v>
      </c>
      <c r="D501" s="324" t="s">
        <v>88</v>
      </c>
      <c r="E501" s="323">
        <v>120</v>
      </c>
      <c r="F501" s="221">
        <f>'приложение 4'!Q113</f>
        <v>856.8</v>
      </c>
      <c r="G501" s="221">
        <f>'приложение 4'!R113</f>
        <v>856.8</v>
      </c>
    </row>
    <row r="502" spans="1:7" ht="31.5">
      <c r="A502" s="294" t="s">
        <v>277</v>
      </c>
      <c r="B502" s="323" t="s">
        <v>958</v>
      </c>
      <c r="C502" s="324" t="s">
        <v>718</v>
      </c>
      <c r="D502" s="324" t="s">
        <v>88</v>
      </c>
      <c r="E502" s="323">
        <v>240</v>
      </c>
      <c r="F502" s="221">
        <f>'приложение 4'!Q114</f>
        <v>70.2</v>
      </c>
      <c r="G502" s="221">
        <f>'приложение 4'!R114</f>
        <v>70.2</v>
      </c>
    </row>
    <row r="503" spans="1:7" ht="31.5">
      <c r="A503" s="301" t="s">
        <v>436</v>
      </c>
      <c r="B503" s="323" t="s">
        <v>959</v>
      </c>
      <c r="C503" s="324"/>
      <c r="D503" s="324"/>
      <c r="E503" s="323"/>
      <c r="F503" s="221">
        <f>F504</f>
        <v>2911.4</v>
      </c>
      <c r="G503" s="221">
        <f>G504</f>
        <v>2911.4</v>
      </c>
    </row>
    <row r="504" spans="1:7" ht="31.5">
      <c r="A504" s="301" t="s">
        <v>277</v>
      </c>
      <c r="B504" s="323" t="s">
        <v>959</v>
      </c>
      <c r="C504" s="324" t="s">
        <v>718</v>
      </c>
      <c r="D504" s="324" t="s">
        <v>392</v>
      </c>
      <c r="E504" s="323">
        <v>240</v>
      </c>
      <c r="F504" s="221">
        <f>'приложение 4'!Q171</f>
        <v>2911.4</v>
      </c>
      <c r="G504" s="221">
        <f>'приложение 4'!R171</f>
        <v>2911.4</v>
      </c>
    </row>
    <row r="505" spans="1:7" ht="63">
      <c r="A505" s="294" t="s">
        <v>304</v>
      </c>
      <c r="B505" s="323" t="s">
        <v>960</v>
      </c>
      <c r="C505" s="324"/>
      <c r="D505" s="324"/>
      <c r="E505" s="323"/>
      <c r="F505" s="221">
        <f>F506</f>
        <v>12.9</v>
      </c>
      <c r="G505" s="221">
        <f>G506</f>
        <v>12.9</v>
      </c>
    </row>
    <row r="506" spans="1:7" ht="31.5">
      <c r="A506" s="294" t="s">
        <v>277</v>
      </c>
      <c r="B506" s="323" t="s">
        <v>960</v>
      </c>
      <c r="C506" s="324" t="s">
        <v>718</v>
      </c>
      <c r="D506" s="324" t="s">
        <v>394</v>
      </c>
      <c r="E506" s="323">
        <v>240</v>
      </c>
      <c r="F506" s="221">
        <f>'приложение 4'!Q313</f>
        <v>12.9</v>
      </c>
      <c r="G506" s="221">
        <f>'приложение 4'!R313</f>
        <v>12.9</v>
      </c>
    </row>
    <row r="507" spans="1:7" ht="15.75">
      <c r="A507" s="318" t="s">
        <v>322</v>
      </c>
      <c r="B507" s="323" t="s">
        <v>958</v>
      </c>
      <c r="C507" s="324"/>
      <c r="D507" s="324"/>
      <c r="E507" s="323"/>
      <c r="F507" s="221">
        <f>F508+F510+F509</f>
        <v>1554.8</v>
      </c>
      <c r="G507" s="221">
        <f>G508+G510+G509</f>
        <v>1554.8</v>
      </c>
    </row>
    <row r="508" spans="1:7" ht="15.75">
      <c r="A508" s="296" t="s">
        <v>210</v>
      </c>
      <c r="B508" s="323" t="s">
        <v>958</v>
      </c>
      <c r="C508" s="324" t="s">
        <v>718</v>
      </c>
      <c r="D508" s="324" t="s">
        <v>100</v>
      </c>
      <c r="E508" s="323">
        <v>120</v>
      </c>
      <c r="F508" s="221">
        <f>'приложение 4'!Q326</f>
        <v>53.6</v>
      </c>
      <c r="G508" s="221">
        <f>'приложение 4'!R326</f>
        <v>53.6</v>
      </c>
    </row>
    <row r="509" spans="1:7" ht="31.5">
      <c r="A509" s="296" t="str">
        <f>A512</f>
        <v>Иные закупки товаров, работ и услуг для обеспечения государственных (муниципальных) нужд</v>
      </c>
      <c r="B509" s="323" t="s">
        <v>958</v>
      </c>
      <c r="C509" s="324" t="s">
        <v>718</v>
      </c>
      <c r="D509" s="324" t="s">
        <v>100</v>
      </c>
      <c r="E509" s="323">
        <v>240</v>
      </c>
      <c r="F509" s="221">
        <f>'приложение 4'!Q327</f>
        <v>8.8</v>
      </c>
      <c r="G509" s="221">
        <f>'приложение 4'!R327</f>
        <v>8.8</v>
      </c>
    </row>
    <row r="510" spans="1:7" ht="15.75">
      <c r="A510" s="296" t="s">
        <v>210</v>
      </c>
      <c r="B510" s="323" t="s">
        <v>958</v>
      </c>
      <c r="C510" s="324" t="s">
        <v>718</v>
      </c>
      <c r="D510" s="324" t="s">
        <v>397</v>
      </c>
      <c r="E510" s="323">
        <v>120</v>
      </c>
      <c r="F510" s="221">
        <f>'приложение 4'!Q422</f>
        <v>1492.4</v>
      </c>
      <c r="G510" s="221">
        <f>'приложение 4'!R422</f>
        <v>1492.4</v>
      </c>
    </row>
    <row r="511" spans="1:7" ht="63">
      <c r="A511" s="308" t="s">
        <v>276</v>
      </c>
      <c r="B511" s="323" t="s">
        <v>961</v>
      </c>
      <c r="C511" s="324"/>
      <c r="D511" s="324"/>
      <c r="E511" s="323"/>
      <c r="F511" s="221">
        <f>F512</f>
        <v>271.6</v>
      </c>
      <c r="G511" s="221">
        <f>G512</f>
        <v>271.6</v>
      </c>
    </row>
    <row r="512" spans="1:7" ht="31.5">
      <c r="A512" s="308" t="s">
        <v>277</v>
      </c>
      <c r="B512" s="323" t="s">
        <v>961</v>
      </c>
      <c r="C512" s="324" t="s">
        <v>718</v>
      </c>
      <c r="D512" s="324" t="s">
        <v>395</v>
      </c>
      <c r="E512" s="323">
        <v>240</v>
      </c>
      <c r="F512" s="221">
        <f>'приложение 4'!Q391</f>
        <v>271.6</v>
      </c>
      <c r="G512" s="221">
        <f>'приложение 4'!R391</f>
        <v>271.6</v>
      </c>
    </row>
    <row r="513" spans="1:7" ht="47.25">
      <c r="A513" s="294" t="s">
        <v>536</v>
      </c>
      <c r="B513" s="323"/>
      <c r="C513" s="324"/>
      <c r="D513" s="324"/>
      <c r="E513" s="323"/>
      <c r="F513" s="221">
        <f>F514</f>
        <v>8640</v>
      </c>
      <c r="G513" s="221">
        <f>G514</f>
        <v>7406</v>
      </c>
    </row>
    <row r="514" spans="1:7" s="194" customFormat="1" ht="31.5">
      <c r="A514" s="294" t="s">
        <v>277</v>
      </c>
      <c r="B514" s="323" t="s">
        <v>962</v>
      </c>
      <c r="C514" s="324" t="s">
        <v>718</v>
      </c>
      <c r="D514" s="324" t="s">
        <v>392</v>
      </c>
      <c r="E514" s="323">
        <v>240</v>
      </c>
      <c r="F514" s="221">
        <f>'приложение 4'!Q173</f>
        <v>8640</v>
      </c>
      <c r="G514" s="221">
        <f>'приложение 4'!R173</f>
        <v>7406</v>
      </c>
    </row>
    <row r="515" spans="1:7" ht="31.5">
      <c r="A515" s="313" t="s">
        <v>522</v>
      </c>
      <c r="B515" s="330" t="s">
        <v>963</v>
      </c>
      <c r="C515" s="331"/>
      <c r="D515" s="331"/>
      <c r="E515" s="330"/>
      <c r="F515" s="222">
        <f>F516+F519+F521</f>
        <v>52164.1</v>
      </c>
      <c r="G515" s="222">
        <f>G516+G519+G521</f>
        <v>52164</v>
      </c>
    </row>
    <row r="516" spans="1:7" ht="15.75">
      <c r="A516" s="297" t="s">
        <v>65</v>
      </c>
      <c r="B516" s="323" t="s">
        <v>964</v>
      </c>
      <c r="C516" s="324"/>
      <c r="D516" s="324"/>
      <c r="E516" s="323"/>
      <c r="F516" s="221">
        <f>F517+F518</f>
        <v>36101.2</v>
      </c>
      <c r="G516" s="221">
        <f>G517+G518</f>
        <v>36101.1</v>
      </c>
    </row>
    <row r="517" spans="1:7" ht="15.75">
      <c r="A517" s="297" t="s">
        <v>279</v>
      </c>
      <c r="B517" s="323" t="s">
        <v>964</v>
      </c>
      <c r="C517" s="324" t="s">
        <v>718</v>
      </c>
      <c r="D517" s="324" t="s">
        <v>88</v>
      </c>
      <c r="E517" s="323">
        <v>610</v>
      </c>
      <c r="F517" s="221">
        <f>'приложение 4'!Q117</f>
        <v>446.59999999999997</v>
      </c>
      <c r="G517" s="221">
        <f>'приложение 4'!R117</f>
        <v>446.6</v>
      </c>
    </row>
    <row r="518" spans="1:7" ht="15.75">
      <c r="A518" s="297" t="s">
        <v>296</v>
      </c>
      <c r="B518" s="323" t="s">
        <v>964</v>
      </c>
      <c r="C518" s="324" t="s">
        <v>718</v>
      </c>
      <c r="D518" s="324" t="s">
        <v>88</v>
      </c>
      <c r="E518" s="323">
        <v>620</v>
      </c>
      <c r="F518" s="221">
        <f>'приложение 4'!Q118</f>
        <v>35654.6</v>
      </c>
      <c r="G518" s="221">
        <f>'приложение 4'!R118</f>
        <v>35654.5</v>
      </c>
    </row>
    <row r="519" spans="1:7" ht="31.5">
      <c r="A519" s="297" t="s">
        <v>353</v>
      </c>
      <c r="B519" s="323" t="s">
        <v>965</v>
      </c>
      <c r="C519" s="324"/>
      <c r="D519" s="324"/>
      <c r="E519" s="323"/>
      <c r="F519" s="221">
        <f>F520</f>
        <v>11102.1</v>
      </c>
      <c r="G519" s="221">
        <f>G520</f>
        <v>11102.1</v>
      </c>
    </row>
    <row r="520" spans="1:7" ht="15.75">
      <c r="A520" s="297" t="s">
        <v>296</v>
      </c>
      <c r="B520" s="323" t="s">
        <v>965</v>
      </c>
      <c r="C520" s="324" t="s">
        <v>718</v>
      </c>
      <c r="D520" s="324" t="s">
        <v>88</v>
      </c>
      <c r="E520" s="323">
        <v>620</v>
      </c>
      <c r="F520" s="221">
        <f>'приложение 4'!Q120</f>
        <v>11102.1</v>
      </c>
      <c r="G520" s="221">
        <f>'приложение 4'!R120</f>
        <v>11102.1</v>
      </c>
    </row>
    <row r="521" spans="1:7" ht="78.75">
      <c r="A521" s="297" t="s">
        <v>67</v>
      </c>
      <c r="B521" s="323" t="s">
        <v>966</v>
      </c>
      <c r="C521" s="324"/>
      <c r="D521" s="324"/>
      <c r="E521" s="323"/>
      <c r="F521" s="221">
        <f>F522</f>
        <v>4960.8</v>
      </c>
      <c r="G521" s="221">
        <f>G522</f>
        <v>4960.8</v>
      </c>
    </row>
    <row r="522" spans="1:7" ht="15.75">
      <c r="A522" s="297" t="s">
        <v>279</v>
      </c>
      <c r="B522" s="323" t="s">
        <v>966</v>
      </c>
      <c r="C522" s="324" t="s">
        <v>718</v>
      </c>
      <c r="D522" s="324" t="s">
        <v>88</v>
      </c>
      <c r="E522" s="323">
        <v>610</v>
      </c>
      <c r="F522" s="221">
        <f>'приложение 4'!Q122</f>
        <v>4960.8</v>
      </c>
      <c r="G522" s="221">
        <f>'приложение 4'!R122</f>
        <v>4960.8</v>
      </c>
    </row>
    <row r="523" spans="1:7" ht="78.75">
      <c r="A523" s="297" t="s">
        <v>610</v>
      </c>
      <c r="B523" s="330" t="s">
        <v>967</v>
      </c>
      <c r="C523" s="331"/>
      <c r="D523" s="331"/>
      <c r="E523" s="330"/>
      <c r="F523" s="222">
        <f>F528+F530+F532+F524+F533</f>
        <v>10610.8</v>
      </c>
      <c r="G523" s="222">
        <f>G528+G530+G532+G524+G533</f>
        <v>10602.7</v>
      </c>
    </row>
    <row r="524" spans="1:7" ht="15.75">
      <c r="A524" s="297" t="s">
        <v>364</v>
      </c>
      <c r="B524" s="323" t="s">
        <v>968</v>
      </c>
      <c r="C524" s="324"/>
      <c r="D524" s="324"/>
      <c r="E524" s="323"/>
      <c r="F524" s="221">
        <f>F525+F526+F527</f>
        <v>68</v>
      </c>
      <c r="G524" s="221">
        <f>G525+G526+G527</f>
        <v>60</v>
      </c>
    </row>
    <row r="525" spans="1:7" ht="15.75">
      <c r="A525" s="297" t="s">
        <v>279</v>
      </c>
      <c r="B525" s="323" t="s">
        <v>968</v>
      </c>
      <c r="C525" s="324" t="s">
        <v>718</v>
      </c>
      <c r="D525" s="324" t="s">
        <v>174</v>
      </c>
      <c r="E525" s="323">
        <v>610</v>
      </c>
      <c r="F525" s="221">
        <f>'приложение 4'!Q385</f>
        <v>39</v>
      </c>
      <c r="G525" s="221">
        <f>'приложение 4'!R385</f>
        <v>39</v>
      </c>
    </row>
    <row r="526" spans="1:7" ht="31.5">
      <c r="A526" s="294" t="s">
        <v>277</v>
      </c>
      <c r="B526" s="323" t="s">
        <v>968</v>
      </c>
      <c r="C526" s="324" t="s">
        <v>718</v>
      </c>
      <c r="D526" s="324" t="s">
        <v>397</v>
      </c>
      <c r="E526" s="323">
        <v>240</v>
      </c>
      <c r="F526" s="221">
        <f>'приложение 4'!Q425</f>
        <v>8</v>
      </c>
      <c r="G526" s="221">
        <f>'приложение 4'!R425</f>
        <v>0</v>
      </c>
    </row>
    <row r="527" spans="1:7" ht="15.75">
      <c r="A527" s="296" t="s">
        <v>334</v>
      </c>
      <c r="B527" s="323" t="s">
        <v>968</v>
      </c>
      <c r="C527" s="324" t="s">
        <v>718</v>
      </c>
      <c r="D527" s="324" t="s">
        <v>397</v>
      </c>
      <c r="E527" s="323">
        <v>350</v>
      </c>
      <c r="F527" s="221">
        <f>'приложение 4'!Q426</f>
        <v>21</v>
      </c>
      <c r="G527" s="221">
        <f>'приложение 4'!R426</f>
        <v>21</v>
      </c>
    </row>
    <row r="528" spans="1:7" ht="15.75">
      <c r="A528" s="296" t="s">
        <v>612</v>
      </c>
      <c r="B528" s="323" t="s">
        <v>969</v>
      </c>
      <c r="C528" s="324"/>
      <c r="D528" s="324"/>
      <c r="E528" s="323"/>
      <c r="F528" s="221">
        <f>F529</f>
        <v>4303.9</v>
      </c>
      <c r="G528" s="221">
        <f>G529</f>
        <v>4303.9</v>
      </c>
    </row>
    <row r="529" spans="1:7" ht="15.75">
      <c r="A529" s="294" t="s">
        <v>281</v>
      </c>
      <c r="B529" s="323" t="s">
        <v>969</v>
      </c>
      <c r="C529" s="324" t="s">
        <v>718</v>
      </c>
      <c r="D529" s="324" t="s">
        <v>396</v>
      </c>
      <c r="E529" s="323">
        <v>320</v>
      </c>
      <c r="F529" s="221">
        <f>'приложение 4'!Q397</f>
        <v>4303.9</v>
      </c>
      <c r="G529" s="221">
        <f>'приложение 4'!R397</f>
        <v>4303.9</v>
      </c>
    </row>
    <row r="530" spans="1:7" ht="15.75">
      <c r="A530" s="294" t="s">
        <v>43</v>
      </c>
      <c r="B530" s="323" t="s">
        <v>970</v>
      </c>
      <c r="C530" s="324"/>
      <c r="D530" s="324"/>
      <c r="E530" s="323"/>
      <c r="F530" s="221">
        <f>F531</f>
        <v>443.9</v>
      </c>
      <c r="G530" s="221">
        <f>G531</f>
        <v>443.8</v>
      </c>
    </row>
    <row r="531" spans="1:7" ht="15.75">
      <c r="A531" s="294" t="s">
        <v>281</v>
      </c>
      <c r="B531" s="323" t="s">
        <v>970</v>
      </c>
      <c r="C531" s="324" t="s">
        <v>718</v>
      </c>
      <c r="D531" s="324" t="s">
        <v>90</v>
      </c>
      <c r="E531" s="323">
        <v>310</v>
      </c>
      <c r="F531" s="221">
        <f>'приложение 4'!Q415</f>
        <v>443.9</v>
      </c>
      <c r="G531" s="221">
        <f>'приложение 4'!R415</f>
        <v>443.8</v>
      </c>
    </row>
    <row r="532" spans="1:7" ht="15.75" hidden="1">
      <c r="A532" s="294" t="s">
        <v>364</v>
      </c>
      <c r="B532" s="323" t="s">
        <v>968</v>
      </c>
      <c r="C532" s="324"/>
      <c r="D532" s="324"/>
      <c r="E532" s="323"/>
      <c r="F532" s="344">
        <v>0</v>
      </c>
      <c r="G532" s="221">
        <v>0</v>
      </c>
    </row>
    <row r="533" spans="1:7" ht="31.5">
      <c r="A533" s="294" t="s">
        <v>615</v>
      </c>
      <c r="B533" s="323" t="s">
        <v>971</v>
      </c>
      <c r="C533" s="324" t="s">
        <v>718</v>
      </c>
      <c r="D533" s="324" t="s">
        <v>90</v>
      </c>
      <c r="E533" s="323"/>
      <c r="F533" s="221">
        <f>F534</f>
        <v>5795</v>
      </c>
      <c r="G533" s="221">
        <f>G534</f>
        <v>5795</v>
      </c>
    </row>
    <row r="534" spans="1:7" ht="31.5">
      <c r="A534" s="294" t="s">
        <v>282</v>
      </c>
      <c r="B534" s="323" t="s">
        <v>971</v>
      </c>
      <c r="C534" s="324" t="s">
        <v>718</v>
      </c>
      <c r="D534" s="324" t="s">
        <v>90</v>
      </c>
      <c r="E534" s="323">
        <v>320</v>
      </c>
      <c r="F534" s="221">
        <f>'приложение 4'!Q417</f>
        <v>5795</v>
      </c>
      <c r="G534" s="221">
        <f>'приложение 4'!R417</f>
        <v>5795</v>
      </c>
    </row>
    <row r="535" spans="1:7" ht="47.25">
      <c r="A535" s="307" t="s">
        <v>617</v>
      </c>
      <c r="B535" s="321" t="s">
        <v>972</v>
      </c>
      <c r="C535" s="322"/>
      <c r="D535" s="322"/>
      <c r="E535" s="321"/>
      <c r="F535" s="220">
        <f aca="true" t="shared" si="2" ref="F535:G537">F536</f>
        <v>45</v>
      </c>
      <c r="G535" s="220">
        <f t="shared" si="2"/>
        <v>45</v>
      </c>
    </row>
    <row r="536" spans="1:7" ht="31.5">
      <c r="A536" s="297" t="s">
        <v>476</v>
      </c>
      <c r="B536" s="323" t="s">
        <v>973</v>
      </c>
      <c r="C536" s="324"/>
      <c r="D536" s="324"/>
      <c r="E536" s="323"/>
      <c r="F536" s="221">
        <f t="shared" si="2"/>
        <v>45</v>
      </c>
      <c r="G536" s="221">
        <f t="shared" si="2"/>
        <v>45</v>
      </c>
    </row>
    <row r="537" spans="1:7" ht="31.5">
      <c r="A537" s="296" t="s">
        <v>475</v>
      </c>
      <c r="B537" s="323" t="s">
        <v>974</v>
      </c>
      <c r="C537" s="324"/>
      <c r="D537" s="324"/>
      <c r="E537" s="323"/>
      <c r="F537" s="221">
        <f t="shared" si="2"/>
        <v>45</v>
      </c>
      <c r="G537" s="221">
        <f t="shared" si="2"/>
        <v>45</v>
      </c>
    </row>
    <row r="538" spans="1:7" ht="47.25">
      <c r="A538" s="299" t="s">
        <v>434</v>
      </c>
      <c r="B538" s="323" t="s">
        <v>974</v>
      </c>
      <c r="C538" s="324" t="s">
        <v>718</v>
      </c>
      <c r="D538" s="324" t="s">
        <v>397</v>
      </c>
      <c r="E538" s="323">
        <v>630</v>
      </c>
      <c r="F538" s="221">
        <f>'приложение 4'!Q430</f>
        <v>45</v>
      </c>
      <c r="G538" s="221">
        <f>'приложение 4'!R430</f>
        <v>45</v>
      </c>
    </row>
    <row r="539" spans="1:7" ht="31.5">
      <c r="A539" s="310" t="s">
        <v>550</v>
      </c>
      <c r="B539" s="321" t="s">
        <v>453</v>
      </c>
      <c r="C539" s="322"/>
      <c r="D539" s="322"/>
      <c r="E539" s="321"/>
      <c r="F539" s="220">
        <f>F540+F549+F552+F560+F564+F568+F570+F574</f>
        <v>8621.800000000003</v>
      </c>
      <c r="G539" s="220">
        <f>G540+G549+G552+G560+G564+G568+G570+G574</f>
        <v>8443</v>
      </c>
    </row>
    <row r="540" spans="1:7" ht="63">
      <c r="A540" s="294" t="s">
        <v>975</v>
      </c>
      <c r="B540" s="323" t="s">
        <v>976</v>
      </c>
      <c r="C540" s="324"/>
      <c r="D540" s="324"/>
      <c r="E540" s="323"/>
      <c r="F540" s="221">
        <f>F541</f>
        <v>4270.4000000000015</v>
      </c>
      <c r="G540" s="221">
        <f>G541</f>
        <v>4242.1</v>
      </c>
    </row>
    <row r="541" spans="1:7" ht="31.5">
      <c r="A541" s="294" t="s">
        <v>588</v>
      </c>
      <c r="B541" s="323" t="s">
        <v>977</v>
      </c>
      <c r="C541" s="324"/>
      <c r="D541" s="324"/>
      <c r="E541" s="323"/>
      <c r="F541" s="221">
        <f>F544+F545+F547+F543+F542+F546+F548</f>
        <v>4270.4000000000015</v>
      </c>
      <c r="G541" s="221">
        <f>G544+G545+G547+G543+G542+G546+G548</f>
        <v>4242.1</v>
      </c>
    </row>
    <row r="542" spans="1:7" ht="31.5">
      <c r="A542" s="294" t="str">
        <f>A544</f>
        <v>Иные закупки товаров, работ и услуг для обеспечения государственных (муниципальных) нужд</v>
      </c>
      <c r="B542" s="323" t="s">
        <v>977</v>
      </c>
      <c r="C542" s="324" t="s">
        <v>718</v>
      </c>
      <c r="D542" s="324" t="s">
        <v>393</v>
      </c>
      <c r="E542" s="323">
        <v>240</v>
      </c>
      <c r="F542" s="221">
        <f>'приложение 4'!Q299</f>
        <v>24.2</v>
      </c>
      <c r="G542" s="221">
        <f>'приложение 4'!R299</f>
        <v>24.2</v>
      </c>
    </row>
    <row r="543" spans="1:7" ht="15.75">
      <c r="A543" s="294" t="str">
        <f>A422</f>
        <v>Уплата налогов, сборов и иных платежей</v>
      </c>
      <c r="B543" s="323" t="s">
        <v>977</v>
      </c>
      <c r="C543" s="324" t="s">
        <v>718</v>
      </c>
      <c r="D543" s="324" t="s">
        <v>393</v>
      </c>
      <c r="E543" s="323">
        <v>850</v>
      </c>
      <c r="F543" s="221">
        <f>'приложение 4'!Q300</f>
        <v>3.8</v>
      </c>
      <c r="G543" s="221">
        <f>'приложение 4'!R300</f>
        <v>3.8</v>
      </c>
    </row>
    <row r="544" spans="1:7" ht="31.5">
      <c r="A544" s="294" t="s">
        <v>277</v>
      </c>
      <c r="B544" s="323" t="s">
        <v>977</v>
      </c>
      <c r="C544" s="324" t="s">
        <v>881</v>
      </c>
      <c r="D544" s="324" t="s">
        <v>393</v>
      </c>
      <c r="E544" s="323">
        <v>240</v>
      </c>
      <c r="F544" s="221">
        <f>'приложение 4'!Q580</f>
        <v>1700.9</v>
      </c>
      <c r="G544" s="221">
        <f>'приложение 4'!R580</f>
        <v>1677.2</v>
      </c>
    </row>
    <row r="545" spans="1:7" ht="31.5">
      <c r="A545" s="294" t="s">
        <v>277</v>
      </c>
      <c r="B545" s="323" t="s">
        <v>977</v>
      </c>
      <c r="C545" s="324" t="s">
        <v>698</v>
      </c>
      <c r="D545" s="324" t="s">
        <v>393</v>
      </c>
      <c r="E545" s="323">
        <v>240</v>
      </c>
      <c r="F545" s="221">
        <f>'приложение 4'!Q873</f>
        <v>1244.4</v>
      </c>
      <c r="G545" s="221">
        <f>'приложение 4'!R873</f>
        <v>1243.3</v>
      </c>
    </row>
    <row r="546" spans="1:7" ht="15.75">
      <c r="A546" s="294" t="str">
        <f>A543</f>
        <v>Уплата налогов, сборов и иных платежей</v>
      </c>
      <c r="B546" s="323" t="s">
        <v>977</v>
      </c>
      <c r="C546" s="324" t="s">
        <v>698</v>
      </c>
      <c r="D546" s="324" t="s">
        <v>393</v>
      </c>
      <c r="E546" s="323">
        <v>850</v>
      </c>
      <c r="F546" s="221">
        <f>'приложение 4'!Q874</f>
        <v>14.1</v>
      </c>
      <c r="G546" s="221">
        <f>'приложение 4'!R874</f>
        <v>14.1</v>
      </c>
    </row>
    <row r="547" spans="1:7" ht="31.5">
      <c r="A547" s="294" t="s">
        <v>277</v>
      </c>
      <c r="B547" s="323" t="s">
        <v>977</v>
      </c>
      <c r="C547" s="324" t="s">
        <v>855</v>
      </c>
      <c r="D547" s="324" t="s">
        <v>393</v>
      </c>
      <c r="E547" s="323">
        <v>240</v>
      </c>
      <c r="F547" s="221">
        <f>'приложение 4'!Q955</f>
        <v>1281.9</v>
      </c>
      <c r="G547" s="221">
        <f>'приложение 4'!R955</f>
        <v>1278.7</v>
      </c>
    </row>
    <row r="548" spans="1:7" ht="15.75">
      <c r="A548" s="294" t="str">
        <f>A543</f>
        <v>Уплата налогов, сборов и иных платежей</v>
      </c>
      <c r="B548" s="323" t="s">
        <v>977</v>
      </c>
      <c r="C548" s="324" t="s">
        <v>855</v>
      </c>
      <c r="D548" s="324" t="s">
        <v>393</v>
      </c>
      <c r="E548" s="323">
        <v>850</v>
      </c>
      <c r="F548" s="221">
        <f>'приложение 4'!Q956</f>
        <v>1.1</v>
      </c>
      <c r="G548" s="221">
        <f>'приложение 4'!R956</f>
        <v>0.8</v>
      </c>
    </row>
    <row r="549" spans="1:7" ht="31.5">
      <c r="A549" s="294" t="s">
        <v>552</v>
      </c>
      <c r="B549" s="323" t="s">
        <v>978</v>
      </c>
      <c r="C549" s="324"/>
      <c r="D549" s="324"/>
      <c r="E549" s="323"/>
      <c r="F549" s="221">
        <f>F550</f>
        <v>215</v>
      </c>
      <c r="G549" s="221">
        <f>G550</f>
        <v>64.5</v>
      </c>
    </row>
    <row r="550" spans="1:7" ht="31.5">
      <c r="A550" s="294" t="s">
        <v>553</v>
      </c>
      <c r="B550" s="323" t="s">
        <v>979</v>
      </c>
      <c r="C550" s="324"/>
      <c r="D550" s="324"/>
      <c r="E550" s="323"/>
      <c r="F550" s="221">
        <f>F551</f>
        <v>215</v>
      </c>
      <c r="G550" s="221">
        <f>G551</f>
        <v>64.5</v>
      </c>
    </row>
    <row r="551" spans="1:7" ht="31.5">
      <c r="A551" s="294" t="s">
        <v>277</v>
      </c>
      <c r="B551" s="323" t="s">
        <v>979</v>
      </c>
      <c r="C551" s="324" t="s">
        <v>718</v>
      </c>
      <c r="D551" s="324" t="s">
        <v>99</v>
      </c>
      <c r="E551" s="323">
        <v>240</v>
      </c>
      <c r="F551" s="221">
        <f>'приложение 4'!Q251</f>
        <v>215</v>
      </c>
      <c r="G551" s="221">
        <f>'приложение 4'!R251</f>
        <v>64.5</v>
      </c>
    </row>
    <row r="552" spans="1:7" ht="15.75">
      <c r="A552" s="292" t="s">
        <v>555</v>
      </c>
      <c r="B552" s="323" t="s">
        <v>980</v>
      </c>
      <c r="C552" s="324"/>
      <c r="D552" s="324"/>
      <c r="E552" s="323"/>
      <c r="F552" s="221">
        <f>F553+F556+F558</f>
        <v>900</v>
      </c>
      <c r="G552" s="221">
        <f>G553+G556+G558</f>
        <v>900</v>
      </c>
    </row>
    <row r="553" spans="1:7" ht="15.75">
      <c r="A553" s="292" t="s">
        <v>642</v>
      </c>
      <c r="B553" s="323" t="s">
        <v>981</v>
      </c>
      <c r="C553" s="324"/>
      <c r="D553" s="324"/>
      <c r="E553" s="323"/>
      <c r="F553" s="221">
        <f>F555+F554</f>
        <v>900</v>
      </c>
      <c r="G553" s="221">
        <f>G555+G554</f>
        <v>900</v>
      </c>
    </row>
    <row r="554" spans="1:7" ht="31.5" hidden="1">
      <c r="A554" s="294" t="s">
        <v>277</v>
      </c>
      <c r="B554" s="323" t="s">
        <v>981</v>
      </c>
      <c r="C554" s="324" t="s">
        <v>718</v>
      </c>
      <c r="D554" s="324" t="s">
        <v>99</v>
      </c>
      <c r="E554" s="323">
        <v>240</v>
      </c>
      <c r="F554" s="344">
        <f>'приложение 4'!Q254</f>
        <v>0</v>
      </c>
      <c r="G554" s="221">
        <f>'приложение 4'!R254</f>
        <v>0</v>
      </c>
    </row>
    <row r="555" spans="1:7" ht="31.5">
      <c r="A555" s="294" t="s">
        <v>277</v>
      </c>
      <c r="B555" s="323" t="s">
        <v>981</v>
      </c>
      <c r="C555" s="324" t="s">
        <v>881</v>
      </c>
      <c r="D555" s="324" t="s">
        <v>99</v>
      </c>
      <c r="E555" s="323">
        <v>240</v>
      </c>
      <c r="F555" s="221">
        <f>'приложение 4'!Q524</f>
        <v>900</v>
      </c>
      <c r="G555" s="221">
        <f>'приложение 4'!R524</f>
        <v>900</v>
      </c>
    </row>
    <row r="556" spans="1:7" ht="47.25" hidden="1">
      <c r="A556" s="338" t="s">
        <v>643</v>
      </c>
      <c r="B556" s="323" t="s">
        <v>982</v>
      </c>
      <c r="C556" s="324" t="s">
        <v>881</v>
      </c>
      <c r="D556" s="324" t="s">
        <v>99</v>
      </c>
      <c r="E556" s="323"/>
      <c r="F556" s="344">
        <f>F557</f>
        <v>0</v>
      </c>
      <c r="G556" s="221">
        <f>G557</f>
        <v>0</v>
      </c>
    </row>
    <row r="557" spans="1:7" ht="31.5" hidden="1">
      <c r="A557" s="294" t="s">
        <v>277</v>
      </c>
      <c r="B557" s="323" t="s">
        <v>982</v>
      </c>
      <c r="C557" s="324" t="s">
        <v>881</v>
      </c>
      <c r="D557" s="324" t="s">
        <v>99</v>
      </c>
      <c r="E557" s="323">
        <v>240</v>
      </c>
      <c r="F557" s="344">
        <f>'приложение 4'!Q526</f>
        <v>0</v>
      </c>
      <c r="G557" s="221">
        <f>'приложение 4'!R526</f>
        <v>0</v>
      </c>
    </row>
    <row r="558" spans="1:7" ht="31.5" hidden="1">
      <c r="A558" s="338" t="s">
        <v>645</v>
      </c>
      <c r="B558" s="323" t="s">
        <v>983</v>
      </c>
      <c r="C558" s="324" t="s">
        <v>881</v>
      </c>
      <c r="D558" s="324" t="s">
        <v>99</v>
      </c>
      <c r="E558" s="323"/>
      <c r="F558" s="344">
        <f>F559</f>
        <v>0</v>
      </c>
      <c r="G558" s="221">
        <f>G559</f>
        <v>0</v>
      </c>
    </row>
    <row r="559" spans="1:7" ht="31.5" hidden="1">
      <c r="A559" s="294" t="s">
        <v>277</v>
      </c>
      <c r="B559" s="323" t="s">
        <v>983</v>
      </c>
      <c r="C559" s="324" t="s">
        <v>881</v>
      </c>
      <c r="D559" s="324" t="s">
        <v>99</v>
      </c>
      <c r="E559" s="323">
        <v>240</v>
      </c>
      <c r="F559" s="344">
        <f>'приложение 4'!Q528</f>
        <v>0</v>
      </c>
      <c r="G559" s="221">
        <f>'приложение 4'!R528</f>
        <v>0</v>
      </c>
    </row>
    <row r="560" spans="1:7" ht="31.5">
      <c r="A560" s="292" t="s">
        <v>558</v>
      </c>
      <c r="B560" s="323" t="s">
        <v>454</v>
      </c>
      <c r="C560" s="324"/>
      <c r="D560" s="324"/>
      <c r="E560" s="323"/>
      <c r="F560" s="221">
        <f>F561</f>
        <v>515.8</v>
      </c>
      <c r="G560" s="221">
        <f>G561</f>
        <v>515.8</v>
      </c>
    </row>
    <row r="561" spans="1:7" ht="15.75">
      <c r="A561" s="292" t="s">
        <v>559</v>
      </c>
      <c r="B561" s="323" t="s">
        <v>984</v>
      </c>
      <c r="C561" s="324"/>
      <c r="D561" s="324"/>
      <c r="E561" s="323"/>
      <c r="F561" s="221">
        <f>F562+F563</f>
        <v>515.8</v>
      </c>
      <c r="G561" s="221">
        <f>G562+G563</f>
        <v>515.8</v>
      </c>
    </row>
    <row r="562" spans="1:7" ht="31.5" hidden="1">
      <c r="A562" s="294" t="s">
        <v>277</v>
      </c>
      <c r="B562" s="323" t="s">
        <v>984</v>
      </c>
      <c r="C562" s="324" t="s">
        <v>881</v>
      </c>
      <c r="D562" s="324" t="s">
        <v>99</v>
      </c>
      <c r="E562" s="323">
        <v>240</v>
      </c>
      <c r="F562" s="344">
        <f>'приложение 4'!Q531</f>
        <v>0</v>
      </c>
      <c r="G562" s="221">
        <f>'приложение 4'!R531</f>
        <v>0</v>
      </c>
    </row>
    <row r="563" spans="1:7" ht="31.5">
      <c r="A563" s="294" t="s">
        <v>277</v>
      </c>
      <c r="B563" s="323" t="s">
        <v>984</v>
      </c>
      <c r="C563" s="324" t="s">
        <v>718</v>
      </c>
      <c r="D563" s="324" t="s">
        <v>99</v>
      </c>
      <c r="E563" s="323">
        <v>240</v>
      </c>
      <c r="F563" s="221">
        <f>'приложение 4'!Q257</f>
        <v>515.8</v>
      </c>
      <c r="G563" s="221">
        <f>'приложение 4'!R257</f>
        <v>515.8</v>
      </c>
    </row>
    <row r="564" spans="1:7" ht="47.25">
      <c r="A564" s="294" t="s">
        <v>561</v>
      </c>
      <c r="B564" s="323" t="s">
        <v>985</v>
      </c>
      <c r="C564" s="324"/>
      <c r="D564" s="324"/>
      <c r="E564" s="323"/>
      <c r="F564" s="221">
        <f>F565</f>
        <v>1130</v>
      </c>
      <c r="G564" s="221">
        <f>G565</f>
        <v>1130</v>
      </c>
    </row>
    <row r="565" spans="1:7" ht="15.75">
      <c r="A565" s="294" t="s">
        <v>562</v>
      </c>
      <c r="B565" s="323" t="s">
        <v>986</v>
      </c>
      <c r="C565" s="324"/>
      <c r="D565" s="324"/>
      <c r="E565" s="323"/>
      <c r="F565" s="221">
        <f>F566+F567</f>
        <v>1130</v>
      </c>
      <c r="G565" s="221">
        <f>G566+G567</f>
        <v>1130</v>
      </c>
    </row>
    <row r="566" spans="1:7" ht="31.5" hidden="1">
      <c r="A566" s="294" t="s">
        <v>277</v>
      </c>
      <c r="B566" s="323" t="s">
        <v>986</v>
      </c>
      <c r="C566" s="324" t="s">
        <v>718</v>
      </c>
      <c r="D566" s="324" t="s">
        <v>99</v>
      </c>
      <c r="E566" s="323">
        <v>240</v>
      </c>
      <c r="F566" s="344">
        <f>'приложение 4'!Q260</f>
        <v>0</v>
      </c>
      <c r="G566" s="221">
        <f>'приложение 4'!R260</f>
        <v>0</v>
      </c>
    </row>
    <row r="567" spans="1:7" ht="47.25">
      <c r="A567" s="294" t="s">
        <v>340</v>
      </c>
      <c r="B567" s="323" t="s">
        <v>986</v>
      </c>
      <c r="C567" s="324" t="s">
        <v>718</v>
      </c>
      <c r="D567" s="324" t="s">
        <v>99</v>
      </c>
      <c r="E567" s="323">
        <v>810</v>
      </c>
      <c r="F567" s="221">
        <f>'приложение 4'!Q261</f>
        <v>1130</v>
      </c>
      <c r="G567" s="221">
        <f>'приложение 4'!R261</f>
        <v>1130</v>
      </c>
    </row>
    <row r="568" spans="1:7" ht="31.5">
      <c r="A568" s="297" t="s">
        <v>647</v>
      </c>
      <c r="B568" s="323" t="s">
        <v>987</v>
      </c>
      <c r="C568" s="324"/>
      <c r="D568" s="324"/>
      <c r="E568" s="323"/>
      <c r="F568" s="221">
        <f>F569</f>
        <v>49.099999999999994</v>
      </c>
      <c r="G568" s="221">
        <f>G569</f>
        <v>49.1</v>
      </c>
    </row>
    <row r="569" spans="1:7" ht="15.75">
      <c r="A569" s="319" t="str">
        <f>A553</f>
        <v>Расходы на ремонт водопроводных сетей</v>
      </c>
      <c r="B569" s="323" t="s">
        <v>988</v>
      </c>
      <c r="C569" s="324" t="s">
        <v>881</v>
      </c>
      <c r="D569" s="324" t="s">
        <v>99</v>
      </c>
      <c r="E569" s="323">
        <v>240</v>
      </c>
      <c r="F569" s="221">
        <f>'приложение 4'!Q534</f>
        <v>49.099999999999994</v>
      </c>
      <c r="G569" s="221">
        <f>'приложение 4'!R534</f>
        <v>49.1</v>
      </c>
    </row>
    <row r="570" spans="1:7" ht="15.75">
      <c r="A570" s="334" t="s">
        <v>564</v>
      </c>
      <c r="B570" s="323" t="s">
        <v>989</v>
      </c>
      <c r="C570" s="324"/>
      <c r="D570" s="324"/>
      <c r="E570" s="323"/>
      <c r="F570" s="221">
        <f>F571</f>
        <v>71</v>
      </c>
      <c r="G570" s="221">
        <f>G571</f>
        <v>71</v>
      </c>
    </row>
    <row r="571" spans="1:7" ht="15.75">
      <c r="A571" s="334" t="s">
        <v>566</v>
      </c>
      <c r="B571" s="323" t="s">
        <v>990</v>
      </c>
      <c r="C571" s="324"/>
      <c r="D571" s="324"/>
      <c r="E571" s="323"/>
      <c r="F571" s="221">
        <f>F572+F573</f>
        <v>71</v>
      </c>
      <c r="G571" s="221">
        <f>G572+G573</f>
        <v>71</v>
      </c>
    </row>
    <row r="572" spans="1:7" ht="31.5" hidden="1">
      <c r="A572" s="294" t="s">
        <v>277</v>
      </c>
      <c r="B572" s="323" t="s">
        <v>990</v>
      </c>
      <c r="C572" s="324" t="s">
        <v>718</v>
      </c>
      <c r="D572" s="324" t="s">
        <v>99</v>
      </c>
      <c r="E572" s="323">
        <v>240</v>
      </c>
      <c r="F572" s="344">
        <f>'приложение 4'!Q264</f>
        <v>0</v>
      </c>
      <c r="G572" s="221">
        <f>'приложение 4'!R264</f>
        <v>0</v>
      </c>
    </row>
    <row r="573" spans="1:7" ht="15.75">
      <c r="A573" s="297" t="s">
        <v>296</v>
      </c>
      <c r="B573" s="323" t="s">
        <v>990</v>
      </c>
      <c r="C573" s="324" t="s">
        <v>718</v>
      </c>
      <c r="D573" s="324" t="s">
        <v>99</v>
      </c>
      <c r="E573" s="323">
        <v>620</v>
      </c>
      <c r="F573" s="221">
        <f>'приложение 4'!Q265</f>
        <v>71</v>
      </c>
      <c r="G573" s="221">
        <f>'приложение 4'!R265</f>
        <v>71</v>
      </c>
    </row>
    <row r="574" spans="1:7" ht="47.25">
      <c r="A574" s="334" t="s">
        <v>568</v>
      </c>
      <c r="B574" s="323" t="s">
        <v>991</v>
      </c>
      <c r="C574" s="324"/>
      <c r="D574" s="324"/>
      <c r="E574" s="323"/>
      <c r="F574" s="221">
        <f>F575</f>
        <v>1470.5</v>
      </c>
      <c r="G574" s="221">
        <f>G575</f>
        <v>1470.5</v>
      </c>
    </row>
    <row r="575" spans="1:7" ht="31.5">
      <c r="A575" s="334" t="s">
        <v>569</v>
      </c>
      <c r="B575" s="323" t="s">
        <v>992</v>
      </c>
      <c r="C575" s="324"/>
      <c r="D575" s="324"/>
      <c r="E575" s="323"/>
      <c r="F575" s="221">
        <f>F576+F577+F578</f>
        <v>1470.5</v>
      </c>
      <c r="G575" s="221">
        <f>G576+G577+G578</f>
        <v>1470.5</v>
      </c>
    </row>
    <row r="576" spans="1:7" ht="31.5">
      <c r="A576" s="294" t="s">
        <v>277</v>
      </c>
      <c r="B576" s="323" t="s">
        <v>992</v>
      </c>
      <c r="C576" s="324" t="s">
        <v>718</v>
      </c>
      <c r="D576" s="324" t="s">
        <v>99</v>
      </c>
      <c r="E576" s="323">
        <v>240</v>
      </c>
      <c r="F576" s="221">
        <f>'приложение 4'!Q268</f>
        <v>86.6</v>
      </c>
      <c r="G576" s="221">
        <f>'приложение 4'!R268</f>
        <v>86.6</v>
      </c>
    </row>
    <row r="577" spans="1:7" ht="15.75">
      <c r="A577" s="297" t="s">
        <v>296</v>
      </c>
      <c r="B577" s="323" t="s">
        <v>992</v>
      </c>
      <c r="C577" s="324" t="s">
        <v>718</v>
      </c>
      <c r="D577" s="324" t="s">
        <v>99</v>
      </c>
      <c r="E577" s="323">
        <v>620</v>
      </c>
      <c r="F577" s="221">
        <f>'приложение 4'!Q269</f>
        <v>181.9</v>
      </c>
      <c r="G577" s="221">
        <f>'приложение 4'!R269</f>
        <v>181.9</v>
      </c>
    </row>
    <row r="578" spans="1:7" ht="47.25">
      <c r="A578" s="294" t="s">
        <v>340</v>
      </c>
      <c r="B578" s="323" t="s">
        <v>992</v>
      </c>
      <c r="C578" s="324" t="s">
        <v>718</v>
      </c>
      <c r="D578" s="324" t="s">
        <v>99</v>
      </c>
      <c r="E578" s="323">
        <v>810</v>
      </c>
      <c r="F578" s="221">
        <f>'приложение 4'!Q270</f>
        <v>1202</v>
      </c>
      <c r="G578" s="221">
        <f>'приложение 4'!R270</f>
        <v>1202</v>
      </c>
    </row>
    <row r="579" spans="1:7" ht="31.5">
      <c r="A579" s="295" t="s">
        <v>575</v>
      </c>
      <c r="B579" s="321" t="s">
        <v>993</v>
      </c>
      <c r="C579" s="322"/>
      <c r="D579" s="322"/>
      <c r="E579" s="321"/>
      <c r="F579" s="220">
        <f>F580+F586+F592+F596+F599</f>
        <v>39630.399999999994</v>
      </c>
      <c r="G579" s="220">
        <f>G580+G586+G592+G596+G599</f>
        <v>35976.6</v>
      </c>
    </row>
    <row r="580" spans="1:7" ht="31.5">
      <c r="A580" s="297" t="s">
        <v>577</v>
      </c>
      <c r="B580" s="323" t="s">
        <v>994</v>
      </c>
      <c r="C580" s="324"/>
      <c r="D580" s="324"/>
      <c r="E580" s="323"/>
      <c r="F580" s="221">
        <f>F581</f>
        <v>3553</v>
      </c>
      <c r="G580" s="221">
        <f>G581</f>
        <v>3320.9</v>
      </c>
    </row>
    <row r="581" spans="1:7" ht="15.75">
      <c r="A581" s="297" t="s">
        <v>578</v>
      </c>
      <c r="B581" s="323" t="s">
        <v>995</v>
      </c>
      <c r="C581" s="322"/>
      <c r="D581" s="322"/>
      <c r="E581" s="321"/>
      <c r="F581" s="221">
        <f>F582+F583+F584+F585</f>
        <v>3553</v>
      </c>
      <c r="G581" s="221">
        <f>G582+G583+G584+G585</f>
        <v>3320.9</v>
      </c>
    </row>
    <row r="582" spans="1:7" ht="31.5">
      <c r="A582" s="297" t="str">
        <f>A583</f>
        <v>Иные закупки товаров, работ и услуг для обеспечения государственных (муниципальных) нужд</v>
      </c>
      <c r="B582" s="323" t="s">
        <v>995</v>
      </c>
      <c r="C582" s="324" t="s">
        <v>881</v>
      </c>
      <c r="D582" s="324" t="s">
        <v>159</v>
      </c>
      <c r="E582" s="323">
        <v>240</v>
      </c>
      <c r="F582" s="221">
        <f>'приложение 4'!Q559</f>
        <v>550</v>
      </c>
      <c r="G582" s="221">
        <f>'приложение 4'!R559</f>
        <v>550</v>
      </c>
    </row>
    <row r="583" spans="1:7" ht="31.5">
      <c r="A583" s="297" t="str">
        <f>A588</f>
        <v>Иные закупки товаров, работ и услуг для обеспечения государственных (муниципальных) нужд</v>
      </c>
      <c r="B583" s="323" t="s">
        <v>995</v>
      </c>
      <c r="C583" s="324" t="s">
        <v>698</v>
      </c>
      <c r="D583" s="324" t="s">
        <v>159</v>
      </c>
      <c r="E583" s="323">
        <v>240</v>
      </c>
      <c r="F583" s="221">
        <f>'приложение 4'!Q858</f>
        <v>161.2</v>
      </c>
      <c r="G583" s="221">
        <f>'приложение 4'!R858</f>
        <v>161.2</v>
      </c>
    </row>
    <row r="584" spans="1:7" ht="31.5">
      <c r="A584" s="297" t="str">
        <f>A589</f>
        <v>Иные закупки товаров, работ и услуг для обеспечения государственных (муниципальных) нужд</v>
      </c>
      <c r="B584" s="323" t="s">
        <v>995</v>
      </c>
      <c r="C584" s="324" t="s">
        <v>855</v>
      </c>
      <c r="D584" s="324" t="s">
        <v>159</v>
      </c>
      <c r="E584" s="323">
        <v>240</v>
      </c>
      <c r="F584" s="221">
        <f>'приложение 4'!Q940</f>
        <v>581.8</v>
      </c>
      <c r="G584" s="221">
        <f>'приложение 4'!R940</f>
        <v>555.1</v>
      </c>
    </row>
    <row r="585" spans="1:7" ht="15.75">
      <c r="A585" s="297" t="s">
        <v>296</v>
      </c>
      <c r="B585" s="323" t="s">
        <v>995</v>
      </c>
      <c r="C585" s="324" t="s">
        <v>718</v>
      </c>
      <c r="D585" s="324" t="s">
        <v>159</v>
      </c>
      <c r="E585" s="323">
        <v>240</v>
      </c>
      <c r="F585" s="221">
        <f>'приложение 4'!Q283</f>
        <v>2260</v>
      </c>
      <c r="G585" s="221">
        <f>'приложение 4'!R283</f>
        <v>2054.6</v>
      </c>
    </row>
    <row r="586" spans="1:7" ht="15.75">
      <c r="A586" s="297" t="s">
        <v>579</v>
      </c>
      <c r="B586" s="323" t="s">
        <v>996</v>
      </c>
      <c r="C586" s="324"/>
      <c r="D586" s="324"/>
      <c r="E586" s="323"/>
      <c r="F586" s="221">
        <f>F587</f>
        <v>14674.699999999999</v>
      </c>
      <c r="G586" s="221">
        <f>G587</f>
        <v>14674.699999999999</v>
      </c>
    </row>
    <row r="587" spans="1:7" ht="15.75">
      <c r="A587" s="297" t="s">
        <v>580</v>
      </c>
      <c r="B587" s="323" t="s">
        <v>997</v>
      </c>
      <c r="C587" s="324"/>
      <c r="D587" s="324"/>
      <c r="E587" s="323"/>
      <c r="F587" s="221">
        <f>F591+F590+F589+F588</f>
        <v>14674.699999999999</v>
      </c>
      <c r="G587" s="221">
        <f>G591+G590+G589+G588</f>
        <v>14674.699999999999</v>
      </c>
    </row>
    <row r="588" spans="1:7" ht="31.5">
      <c r="A588" s="297" t="s">
        <v>277</v>
      </c>
      <c r="B588" s="323" t="s">
        <v>997</v>
      </c>
      <c r="C588" s="324" t="s">
        <v>718</v>
      </c>
      <c r="D588" s="324" t="s">
        <v>159</v>
      </c>
      <c r="E588" s="323">
        <v>240</v>
      </c>
      <c r="F588" s="221">
        <f>'приложение 4'!Q286</f>
        <v>794.9</v>
      </c>
      <c r="G588" s="221">
        <f>'приложение 4'!R286</f>
        <v>794.9</v>
      </c>
    </row>
    <row r="589" spans="1:7" ht="31.5">
      <c r="A589" s="294" t="s">
        <v>277</v>
      </c>
      <c r="B589" s="323" t="s">
        <v>997</v>
      </c>
      <c r="C589" s="324" t="s">
        <v>881</v>
      </c>
      <c r="D589" s="324" t="s">
        <v>159</v>
      </c>
      <c r="E589" s="323">
        <v>240</v>
      </c>
      <c r="F589" s="221">
        <f>'приложение 4'!Q562</f>
        <v>7585.2</v>
      </c>
      <c r="G589" s="221">
        <f>'приложение 4'!R562</f>
        <v>7585.2</v>
      </c>
    </row>
    <row r="590" spans="1:7" ht="31.5">
      <c r="A590" s="294" t="s">
        <v>277</v>
      </c>
      <c r="B590" s="323" t="s">
        <v>997</v>
      </c>
      <c r="C590" s="324" t="s">
        <v>698</v>
      </c>
      <c r="D590" s="324" t="s">
        <v>159</v>
      </c>
      <c r="E590" s="332">
        <v>240</v>
      </c>
      <c r="F590" s="221">
        <f>'приложение 4'!Q861</f>
        <v>2237.9</v>
      </c>
      <c r="G590" s="221">
        <f>'приложение 4'!R861</f>
        <v>2237.9</v>
      </c>
    </row>
    <row r="591" spans="1:7" ht="31.5">
      <c r="A591" s="294" t="s">
        <v>277</v>
      </c>
      <c r="B591" s="323" t="s">
        <v>997</v>
      </c>
      <c r="C591" s="324" t="s">
        <v>855</v>
      </c>
      <c r="D591" s="324" t="s">
        <v>159</v>
      </c>
      <c r="E591" s="332">
        <v>240</v>
      </c>
      <c r="F591" s="221">
        <f>'приложение 4'!Q943</f>
        <v>4056.7</v>
      </c>
      <c r="G591" s="221">
        <f>'приложение 4'!R943</f>
        <v>4056.7</v>
      </c>
    </row>
    <row r="592" spans="1:7" ht="31.5">
      <c r="A592" s="316" t="s">
        <v>695</v>
      </c>
      <c r="B592" s="323" t="s">
        <v>998</v>
      </c>
      <c r="C592" s="324"/>
      <c r="D592" s="324"/>
      <c r="E592" s="332"/>
      <c r="F592" s="221">
        <f>F593</f>
        <v>187.4</v>
      </c>
      <c r="G592" s="221">
        <f>G593</f>
        <v>187.4</v>
      </c>
    </row>
    <row r="593" spans="1:7" ht="31.5">
      <c r="A593" s="316" t="s">
        <v>696</v>
      </c>
      <c r="B593" s="323" t="s">
        <v>999</v>
      </c>
      <c r="C593" s="324"/>
      <c r="D593" s="324"/>
      <c r="E593" s="332"/>
      <c r="F593" s="221">
        <f>F594+F595</f>
        <v>187.4</v>
      </c>
      <c r="G593" s="221">
        <f>G594+G595</f>
        <v>187.4</v>
      </c>
    </row>
    <row r="594" spans="1:7" ht="31.5">
      <c r="A594" s="294" t="s">
        <v>277</v>
      </c>
      <c r="B594" s="323" t="s">
        <v>999</v>
      </c>
      <c r="C594" s="324" t="s">
        <v>698</v>
      </c>
      <c r="D594" s="324" t="s">
        <v>159</v>
      </c>
      <c r="E594" s="332">
        <v>240</v>
      </c>
      <c r="F594" s="221">
        <f>'приложение 4'!Q864</f>
        <v>69.5</v>
      </c>
      <c r="G594" s="221">
        <f>'приложение 4'!R864</f>
        <v>69.5</v>
      </c>
    </row>
    <row r="595" spans="1:7" ht="31.5">
      <c r="A595" s="294" t="s">
        <v>277</v>
      </c>
      <c r="B595" s="323" t="s">
        <v>999</v>
      </c>
      <c r="C595" s="324" t="s">
        <v>855</v>
      </c>
      <c r="D595" s="324" t="s">
        <v>159</v>
      </c>
      <c r="E595" s="332">
        <v>240</v>
      </c>
      <c r="F595" s="221">
        <f>'приложение 4'!Q946</f>
        <v>117.9</v>
      </c>
      <c r="G595" s="221">
        <f>'приложение 4'!R946</f>
        <v>117.9</v>
      </c>
    </row>
    <row r="596" spans="1:7" ht="15.75">
      <c r="A596" s="297" t="s">
        <v>657</v>
      </c>
      <c r="B596" s="323" t="s">
        <v>1000</v>
      </c>
      <c r="C596" s="324"/>
      <c r="D596" s="324"/>
      <c r="E596" s="323"/>
      <c r="F596" s="221">
        <f>F597</f>
        <v>21215.3</v>
      </c>
      <c r="G596" s="221">
        <f>G597</f>
        <v>17793.6</v>
      </c>
    </row>
    <row r="597" spans="1:7" ht="15.75">
      <c r="A597" s="297" t="str">
        <f>A581</f>
        <v>Мероприятия по благоустройству территорий населенных пунктов</v>
      </c>
      <c r="B597" s="323" t="s">
        <v>1001</v>
      </c>
      <c r="C597" s="324"/>
      <c r="D597" s="324"/>
      <c r="E597" s="332"/>
      <c r="F597" s="221">
        <f>F598</f>
        <v>21215.3</v>
      </c>
      <c r="G597" s="221">
        <f>G598</f>
        <v>17793.6</v>
      </c>
    </row>
    <row r="598" spans="1:7" ht="31.5">
      <c r="A598" s="297" t="str">
        <f>A600</f>
        <v>Иные закупки товаров, работ и услуг для обеспечения государственных (муниципальных) нужд</v>
      </c>
      <c r="B598" s="323" t="s">
        <v>1001</v>
      </c>
      <c r="C598" s="324" t="s">
        <v>881</v>
      </c>
      <c r="D598" s="324" t="s">
        <v>159</v>
      </c>
      <c r="E598" s="332">
        <v>240</v>
      </c>
      <c r="F598" s="221">
        <f>'приложение 4'!Q565</f>
        <v>21215.3</v>
      </c>
      <c r="G598" s="221">
        <f>'приложение 4'!R565</f>
        <v>17793.6</v>
      </c>
    </row>
    <row r="599" spans="1:7" ht="15.75" hidden="1">
      <c r="A599" s="297" t="s">
        <v>651</v>
      </c>
      <c r="B599" s="323" t="s">
        <v>1002</v>
      </c>
      <c r="C599" s="324"/>
      <c r="D599" s="324"/>
      <c r="E599" s="332"/>
      <c r="F599" s="344">
        <f>F600</f>
        <v>0</v>
      </c>
      <c r="G599" s="221">
        <f>G600</f>
        <v>0</v>
      </c>
    </row>
    <row r="600" spans="1:7" ht="31.5" hidden="1">
      <c r="A600" s="294" t="s">
        <v>277</v>
      </c>
      <c r="B600" s="323" t="s">
        <v>1002</v>
      </c>
      <c r="C600" s="324" t="s">
        <v>881</v>
      </c>
      <c r="D600" s="324" t="s">
        <v>159</v>
      </c>
      <c r="E600" s="332">
        <v>240</v>
      </c>
      <c r="F600" s="344">
        <f>'приложение 4'!Q567</f>
        <v>0</v>
      </c>
      <c r="G600" s="221">
        <f>'приложение 4'!R567</f>
        <v>0</v>
      </c>
    </row>
    <row r="601" spans="1:7" ht="31.5">
      <c r="A601" s="310" t="s">
        <v>582</v>
      </c>
      <c r="B601" s="321" t="s">
        <v>1003</v>
      </c>
      <c r="C601" s="322"/>
      <c r="D601" s="322"/>
      <c r="E601" s="333"/>
      <c r="F601" s="220">
        <f aca="true" t="shared" si="3" ref="F601:G603">F602</f>
        <v>450</v>
      </c>
      <c r="G601" s="220">
        <f t="shared" si="3"/>
        <v>450</v>
      </c>
    </row>
    <row r="602" spans="1:7" ht="31.5">
      <c r="A602" s="294" t="s">
        <v>584</v>
      </c>
      <c r="B602" s="323" t="s">
        <v>1004</v>
      </c>
      <c r="C602" s="324"/>
      <c r="D602" s="324"/>
      <c r="E602" s="332"/>
      <c r="F602" s="221">
        <f t="shared" si="3"/>
        <v>450</v>
      </c>
      <c r="G602" s="221">
        <f t="shared" si="3"/>
        <v>450</v>
      </c>
    </row>
    <row r="603" spans="1:7" ht="15.75">
      <c r="A603" s="294" t="s">
        <v>585</v>
      </c>
      <c r="B603" s="323" t="s">
        <v>1005</v>
      </c>
      <c r="C603" s="324"/>
      <c r="D603" s="324"/>
      <c r="E603" s="332"/>
      <c r="F603" s="221">
        <f t="shared" si="3"/>
        <v>450</v>
      </c>
      <c r="G603" s="221">
        <f t="shared" si="3"/>
        <v>450</v>
      </c>
    </row>
    <row r="604" spans="1:7" ht="31.5">
      <c r="A604" s="294" t="s">
        <v>277</v>
      </c>
      <c r="B604" s="323" t="str">
        <f>B603</f>
        <v>21 0 02 23040</v>
      </c>
      <c r="C604" s="324" t="s">
        <v>718</v>
      </c>
      <c r="D604" s="324" t="s">
        <v>1006</v>
      </c>
      <c r="E604" s="332">
        <v>240</v>
      </c>
      <c r="F604" s="221">
        <f>'приложение 4'!Q290</f>
        <v>450</v>
      </c>
      <c r="G604" s="221">
        <f>'приложение 4'!R290</f>
        <v>450</v>
      </c>
    </row>
    <row r="605" spans="1:7" ht="47.25">
      <c r="A605" s="340" t="s">
        <v>323</v>
      </c>
      <c r="B605" s="321" t="s">
        <v>24</v>
      </c>
      <c r="C605" s="322"/>
      <c r="D605" s="322"/>
      <c r="E605" s="321"/>
      <c r="F605" s="220">
        <f>F606</f>
        <v>249714.40000000002</v>
      </c>
      <c r="G605" s="220">
        <f>G606</f>
        <v>240570.30000000002</v>
      </c>
    </row>
    <row r="606" spans="1:7" ht="31.5">
      <c r="A606" s="334" t="s">
        <v>385</v>
      </c>
      <c r="B606" s="323" t="s">
        <v>386</v>
      </c>
      <c r="C606" s="324"/>
      <c r="D606" s="324"/>
      <c r="E606" s="323"/>
      <c r="F606" s="221">
        <f>F607+F610+F613</f>
        <v>249714.40000000002</v>
      </c>
      <c r="G606" s="221">
        <f>G607+G610+G613</f>
        <v>240570.30000000002</v>
      </c>
    </row>
    <row r="607" spans="1:7" ht="31.5">
      <c r="A607" s="334" t="s">
        <v>318</v>
      </c>
      <c r="B607" s="323" t="s">
        <v>421</v>
      </c>
      <c r="C607" s="324"/>
      <c r="D607" s="324"/>
      <c r="E607" s="323"/>
      <c r="F607" s="221">
        <f>F608+F609</f>
        <v>162528.9</v>
      </c>
      <c r="G607" s="221">
        <f>G608+G609</f>
        <v>154677.8</v>
      </c>
    </row>
    <row r="608" spans="1:7" ht="15.75">
      <c r="A608" s="334" t="s">
        <v>207</v>
      </c>
      <c r="B608" s="323" t="s">
        <v>421</v>
      </c>
      <c r="C608" s="324" t="s">
        <v>718</v>
      </c>
      <c r="D608" s="324" t="s">
        <v>106</v>
      </c>
      <c r="E608" s="323">
        <v>410</v>
      </c>
      <c r="F608" s="221">
        <f>'приложение 4'!Q233</f>
        <v>54134.19999999999</v>
      </c>
      <c r="G608" s="221">
        <f>'приложение 4'!R233</f>
        <v>46674.9</v>
      </c>
    </row>
    <row r="609" spans="1:7" ht="15.75">
      <c r="A609" s="297" t="s">
        <v>278</v>
      </c>
      <c r="B609" s="323" t="s">
        <v>421</v>
      </c>
      <c r="C609" s="324" t="s">
        <v>718</v>
      </c>
      <c r="D609" s="324" t="s">
        <v>106</v>
      </c>
      <c r="E609" s="323">
        <v>850</v>
      </c>
      <c r="F609" s="221">
        <f>'приложение 4'!Q234</f>
        <v>108394.70000000001</v>
      </c>
      <c r="G609" s="221">
        <f>'приложение 4'!R234</f>
        <v>108002.9</v>
      </c>
    </row>
    <row r="610" spans="1:7" ht="31.5">
      <c r="A610" s="334" t="s">
        <v>319</v>
      </c>
      <c r="B610" s="323" t="s">
        <v>329</v>
      </c>
      <c r="C610" s="324"/>
      <c r="D610" s="324"/>
      <c r="E610" s="323"/>
      <c r="F610" s="221">
        <f>F611+F612</f>
        <v>86144.90000000002</v>
      </c>
      <c r="G610" s="221">
        <f>G611+G612</f>
        <v>84851.90000000001</v>
      </c>
    </row>
    <row r="611" spans="1:7" ht="15.75">
      <c r="A611" s="334" t="s">
        <v>207</v>
      </c>
      <c r="B611" s="323" t="s">
        <v>329</v>
      </c>
      <c r="C611" s="324" t="s">
        <v>718</v>
      </c>
      <c r="D611" s="324" t="s">
        <v>106</v>
      </c>
      <c r="E611" s="323">
        <v>410</v>
      </c>
      <c r="F611" s="221">
        <f>'приложение 4'!Q236</f>
        <v>81073.90000000002</v>
      </c>
      <c r="G611" s="221">
        <f>'приложение 4'!R236</f>
        <v>80351.8</v>
      </c>
    </row>
    <row r="612" spans="1:7" ht="15.75">
      <c r="A612" s="297" t="s">
        <v>278</v>
      </c>
      <c r="B612" s="323" t="s">
        <v>329</v>
      </c>
      <c r="C612" s="324" t="s">
        <v>718</v>
      </c>
      <c r="D612" s="324" t="s">
        <v>106</v>
      </c>
      <c r="E612" s="323">
        <v>850</v>
      </c>
      <c r="F612" s="221">
        <f>'приложение 4'!Q237</f>
        <v>5071</v>
      </c>
      <c r="G612" s="221">
        <f>'приложение 4'!R237</f>
        <v>4500.1</v>
      </c>
    </row>
    <row r="613" spans="1:7" ht="31.5">
      <c r="A613" s="334" t="s">
        <v>1007</v>
      </c>
      <c r="B613" s="323" t="s">
        <v>332</v>
      </c>
      <c r="C613" s="324"/>
      <c r="D613" s="324"/>
      <c r="E613" s="323"/>
      <c r="F613" s="221">
        <f>F614+F615</f>
        <v>1040.6</v>
      </c>
      <c r="G613" s="221">
        <f>G614+G615</f>
        <v>1040.6</v>
      </c>
    </row>
    <row r="614" spans="1:7" ht="31.5" hidden="1">
      <c r="A614" s="294" t="s">
        <v>277</v>
      </c>
      <c r="B614" s="323" t="s">
        <v>332</v>
      </c>
      <c r="C614" s="324" t="s">
        <v>718</v>
      </c>
      <c r="D614" s="324" t="s">
        <v>106</v>
      </c>
      <c r="E614" s="323">
        <v>240</v>
      </c>
      <c r="F614" s="344">
        <f>'приложение 4'!Q239</f>
        <v>0</v>
      </c>
      <c r="G614" s="221">
        <f>'приложение 4'!R239</f>
        <v>0</v>
      </c>
    </row>
    <row r="615" spans="1:7" ht="15.75">
      <c r="A615" s="297" t="s">
        <v>296</v>
      </c>
      <c r="B615" s="323" t="s">
        <v>332</v>
      </c>
      <c r="C615" s="324" t="s">
        <v>718</v>
      </c>
      <c r="D615" s="324" t="s">
        <v>106</v>
      </c>
      <c r="E615" s="323">
        <v>620</v>
      </c>
      <c r="F615" s="221">
        <f>'приложение 4'!Q240</f>
        <v>1040.6</v>
      </c>
      <c r="G615" s="221">
        <f>'приложение 4'!R240</f>
        <v>1040.6</v>
      </c>
    </row>
    <row r="616" spans="1:7" ht="15">
      <c r="A616" s="388" t="s">
        <v>170</v>
      </c>
      <c r="B616" s="389"/>
      <c r="C616" s="389"/>
      <c r="D616" s="389"/>
      <c r="E616" s="390"/>
      <c r="F616" s="288">
        <f>F13+F44+F63+F81+F163+F184+F192+F219+F245+F291+F307+F315+F325+F338+F365+F390+F535+F539+F579+F605+F601</f>
        <v>1070806.4000000001</v>
      </c>
      <c r="G616" s="288">
        <f>G13+G44+G63+G81+G163+G184+G192+G219+G245+G291+G307+G315+G325+G338+G365+G390+G535+G539+G579+G605+G601</f>
        <v>1027557.9000000001</v>
      </c>
    </row>
  </sheetData>
  <sheetProtection/>
  <mergeCells count="14">
    <mergeCell ref="D10:D11"/>
    <mergeCell ref="E10:E11"/>
    <mergeCell ref="A616:E616"/>
    <mergeCell ref="G10:G11"/>
    <mergeCell ref="B1:F1"/>
    <mergeCell ref="B3:F3"/>
    <mergeCell ref="B2:F2"/>
    <mergeCell ref="F10:F11"/>
    <mergeCell ref="A8:F8"/>
    <mergeCell ref="A6:G6"/>
    <mergeCell ref="A7:G7"/>
    <mergeCell ref="A10:A11"/>
    <mergeCell ref="B10:B11"/>
    <mergeCell ref="C10:C11"/>
  </mergeCells>
  <printOptions/>
  <pageMargins left="0.3937007874015748" right="0.15748031496062992" top="0.7480314960629921" bottom="0.7480314960629921" header="0.31496062992125984" footer="0.31496062992125984"/>
  <pageSetup fitToHeight="1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45" customWidth="1"/>
    <col min="2" max="2" width="15.00390625" style="145" customWidth="1"/>
    <col min="3" max="3" width="6.8515625" style="149" customWidth="1"/>
    <col min="4" max="4" width="5.28125" style="149" customWidth="1"/>
    <col min="5" max="5" width="6.28125" style="145" customWidth="1"/>
    <col min="6" max="6" width="10.8515625" style="150" hidden="1" customWidth="1"/>
    <col min="7" max="7" width="10.7109375" style="150" customWidth="1"/>
    <col min="8" max="8" width="10.140625" style="150" customWidth="1"/>
    <col min="9" max="16384" width="9.140625" style="145" customWidth="1"/>
  </cols>
  <sheetData>
    <row r="1" spans="2:8" ht="18.75">
      <c r="B1" s="379" t="s">
        <v>333</v>
      </c>
      <c r="C1" s="379"/>
      <c r="D1" s="379"/>
      <c r="E1" s="379"/>
      <c r="F1" s="379"/>
      <c r="G1" s="379"/>
      <c r="H1" s="379"/>
    </row>
    <row r="2" spans="2:8" ht="18.75">
      <c r="B2" s="393" t="s">
        <v>185</v>
      </c>
      <c r="C2" s="393"/>
      <c r="D2" s="393"/>
      <c r="E2" s="393"/>
      <c r="F2" s="393"/>
      <c r="G2" s="393"/>
      <c r="H2" s="393"/>
    </row>
    <row r="3" spans="2:8" ht="18.75">
      <c r="B3" s="393" t="s">
        <v>381</v>
      </c>
      <c r="C3" s="393"/>
      <c r="D3" s="393"/>
      <c r="E3" s="393"/>
      <c r="F3" s="393"/>
      <c r="G3" s="393"/>
      <c r="H3" s="393"/>
    </row>
    <row r="4" spans="1:9" ht="22.5" customHeight="1">
      <c r="A4" s="144"/>
      <c r="B4" s="394" t="s">
        <v>383</v>
      </c>
      <c r="C4" s="394"/>
      <c r="D4" s="394"/>
      <c r="E4" s="394"/>
      <c r="F4" s="165"/>
      <c r="G4" s="165"/>
      <c r="H4" s="165"/>
      <c r="I4" s="165"/>
    </row>
    <row r="5" spans="1:9" ht="22.5" customHeight="1">
      <c r="A5" s="144"/>
      <c r="B5" s="400" t="s">
        <v>185</v>
      </c>
      <c r="C5" s="400"/>
      <c r="D5" s="400"/>
      <c r="E5" s="400"/>
      <c r="F5" s="400"/>
      <c r="G5" s="400"/>
      <c r="H5" s="400"/>
      <c r="I5" s="400"/>
    </row>
    <row r="6" spans="1:9" ht="19.5" customHeight="1">
      <c r="A6" s="144"/>
      <c r="B6" s="394" t="s">
        <v>186</v>
      </c>
      <c r="C6" s="394"/>
      <c r="D6" s="394"/>
      <c r="E6" s="394"/>
      <c r="F6" s="394"/>
      <c r="G6" s="394"/>
      <c r="H6" s="394"/>
      <c r="I6" s="394"/>
    </row>
    <row r="7" spans="1:9" ht="19.5" customHeight="1">
      <c r="A7" s="144"/>
      <c r="B7" s="394" t="s">
        <v>337</v>
      </c>
      <c r="C7" s="394"/>
      <c r="D7" s="394"/>
      <c r="E7" s="394"/>
      <c r="F7" s="394"/>
      <c r="G7" s="394"/>
      <c r="H7" s="394"/>
      <c r="I7" s="394"/>
    </row>
    <row r="8" spans="1:9" ht="18.75">
      <c r="A8" s="144"/>
      <c r="B8" s="118" t="s">
        <v>382</v>
      </c>
      <c r="C8" s="118"/>
      <c r="D8" s="118"/>
      <c r="E8" s="118"/>
      <c r="F8" s="146"/>
      <c r="G8" s="146"/>
      <c r="H8" s="147"/>
      <c r="I8" s="119"/>
    </row>
    <row r="9" spans="1:9" ht="18.75">
      <c r="A9" s="144"/>
      <c r="B9" s="118"/>
      <c r="C9" s="118"/>
      <c r="D9" s="118"/>
      <c r="E9" s="118"/>
      <c r="F9" s="146"/>
      <c r="G9" s="146"/>
      <c r="H9" s="147"/>
      <c r="I9" s="119"/>
    </row>
    <row r="10" spans="1:9" ht="18.75">
      <c r="A10" s="402" t="s">
        <v>89</v>
      </c>
      <c r="B10" s="402"/>
      <c r="C10" s="402"/>
      <c r="D10" s="402"/>
      <c r="E10" s="402"/>
      <c r="F10" s="402"/>
      <c r="G10" s="402"/>
      <c r="H10" s="402"/>
      <c r="I10" s="137"/>
    </row>
    <row r="11" spans="1:9" ht="18.75">
      <c r="A11" s="402" t="s">
        <v>305</v>
      </c>
      <c r="B11" s="402"/>
      <c r="C11" s="402"/>
      <c r="D11" s="402"/>
      <c r="E11" s="402"/>
      <c r="F11" s="402"/>
      <c r="G11" s="402"/>
      <c r="H11" s="402"/>
      <c r="I11" s="136"/>
    </row>
    <row r="12" spans="1:9" ht="18.75">
      <c r="A12" s="403" t="s">
        <v>182</v>
      </c>
      <c r="B12" s="403"/>
      <c r="C12" s="403"/>
      <c r="D12" s="403"/>
      <c r="E12" s="403"/>
      <c r="F12" s="403"/>
      <c r="G12" s="403"/>
      <c r="H12" s="403"/>
      <c r="I12" s="135"/>
    </row>
    <row r="13" spans="1:8" ht="30.75" customHeight="1">
      <c r="A13" s="155"/>
      <c r="B13" s="155"/>
      <c r="C13" s="156"/>
      <c r="D13" s="156"/>
      <c r="E13" s="155"/>
      <c r="F13" s="157"/>
      <c r="G13" s="404" t="s">
        <v>342</v>
      </c>
      <c r="H13" s="404"/>
    </row>
    <row r="14" spans="1:8" ht="15.75">
      <c r="A14" s="398" t="s">
        <v>195</v>
      </c>
      <c r="B14" s="398" t="s">
        <v>191</v>
      </c>
      <c r="C14" s="399" t="s">
        <v>194</v>
      </c>
      <c r="D14" s="399" t="s">
        <v>87</v>
      </c>
      <c r="E14" s="398" t="s">
        <v>190</v>
      </c>
      <c r="F14" s="401" t="s">
        <v>189</v>
      </c>
      <c r="G14" s="401"/>
      <c r="H14" s="401"/>
    </row>
    <row r="15" spans="1:8" ht="15.75">
      <c r="A15" s="398"/>
      <c r="B15" s="398"/>
      <c r="C15" s="399"/>
      <c r="D15" s="399"/>
      <c r="E15" s="398"/>
      <c r="F15" s="158" t="s">
        <v>341</v>
      </c>
      <c r="G15" s="158" t="s">
        <v>25</v>
      </c>
      <c r="H15" s="158" t="s">
        <v>336</v>
      </c>
    </row>
    <row r="16" spans="1:8" ht="15.75">
      <c r="A16" s="159">
        <v>1</v>
      </c>
      <c r="B16" s="159">
        <v>2</v>
      </c>
      <c r="C16" s="160">
        <v>3</v>
      </c>
      <c r="D16" s="160">
        <v>4</v>
      </c>
      <c r="E16" s="159">
        <v>5</v>
      </c>
      <c r="F16" s="160">
        <v>6</v>
      </c>
      <c r="G16" s="160" t="s">
        <v>183</v>
      </c>
      <c r="H16" s="160" t="s">
        <v>184</v>
      </c>
    </row>
    <row r="17" spans="1:8" s="148" customFormat="1" ht="81.75" customHeight="1">
      <c r="A17" s="152" t="s">
        <v>306</v>
      </c>
      <c r="B17" s="139" t="s">
        <v>287</v>
      </c>
      <c r="C17" s="140"/>
      <c r="D17" s="140"/>
      <c r="E17" s="139"/>
      <c r="F17" s="143" t="e">
        <f>F18+#REF!+F21+F24+F27+#REF!</f>
        <v>#REF!</v>
      </c>
      <c r="G17" s="143" t="e">
        <f>G18+G21+G24+G27</f>
        <v>#REF!</v>
      </c>
      <c r="H17" s="143">
        <v>0</v>
      </c>
    </row>
    <row r="18" spans="1:8" ht="31.5">
      <c r="A18" s="161" t="s">
        <v>253</v>
      </c>
      <c r="B18" s="162" t="s">
        <v>292</v>
      </c>
      <c r="C18" s="163"/>
      <c r="D18" s="163"/>
      <c r="E18" s="162"/>
      <c r="F18" s="164" t="e">
        <f>F19</f>
        <v>#REF!</v>
      </c>
      <c r="G18" s="164" t="e">
        <f>G19</f>
        <v>#REF!</v>
      </c>
      <c r="H18" s="164">
        <v>0</v>
      </c>
    </row>
    <row r="19" spans="1:8" ht="47.25">
      <c r="A19" s="161" t="s">
        <v>291</v>
      </c>
      <c r="B19" s="162" t="s">
        <v>293</v>
      </c>
      <c r="C19" s="163"/>
      <c r="D19" s="163"/>
      <c r="E19" s="162"/>
      <c r="F19" s="164" t="e">
        <f>SUM(F20:F20)</f>
        <v>#REF!</v>
      </c>
      <c r="G19" s="164" t="e">
        <f>G20</f>
        <v>#REF!</v>
      </c>
      <c r="H19" s="164">
        <v>0</v>
      </c>
    </row>
    <row r="20" spans="1:8" ht="47.25">
      <c r="A20" s="161" t="s">
        <v>277</v>
      </c>
      <c r="B20" s="162" t="s">
        <v>293</v>
      </c>
      <c r="C20" s="163" t="s">
        <v>285</v>
      </c>
      <c r="D20" s="163" t="s">
        <v>91</v>
      </c>
      <c r="E20" s="162">
        <v>240</v>
      </c>
      <c r="F20" s="164" t="e">
        <f>'приложение 4'!#REF!</f>
        <v>#REF!</v>
      </c>
      <c r="G20" s="164" t="e">
        <f>#REF!</f>
        <v>#REF!</v>
      </c>
      <c r="H20" s="164">
        <v>0</v>
      </c>
    </row>
    <row r="21" spans="1:8" ht="47.25">
      <c r="A21" s="161" t="s">
        <v>3</v>
      </c>
      <c r="B21" s="162" t="s">
        <v>288</v>
      </c>
      <c r="C21" s="163"/>
      <c r="D21" s="163"/>
      <c r="E21" s="162"/>
      <c r="F21" s="164" t="e">
        <f>F22</f>
        <v>#REF!</v>
      </c>
      <c r="G21" s="164" t="e">
        <f>G22</f>
        <v>#REF!</v>
      </c>
      <c r="H21" s="164">
        <v>0</v>
      </c>
    </row>
    <row r="22" spans="1:8" ht="31.5">
      <c r="A22" s="161" t="s">
        <v>299</v>
      </c>
      <c r="B22" s="162" t="s">
        <v>19</v>
      </c>
      <c r="C22" s="163"/>
      <c r="D22" s="163"/>
      <c r="E22" s="162"/>
      <c r="F22" s="164" t="e">
        <f>F23</f>
        <v>#REF!</v>
      </c>
      <c r="G22" s="164" t="e">
        <f>G23</f>
        <v>#REF!</v>
      </c>
      <c r="H22" s="164">
        <v>0</v>
      </c>
    </row>
    <row r="23" spans="1:8" ht="47.25">
      <c r="A23" s="161" t="s">
        <v>277</v>
      </c>
      <c r="B23" s="162" t="s">
        <v>19</v>
      </c>
      <c r="C23" s="163" t="s">
        <v>285</v>
      </c>
      <c r="D23" s="163" t="s">
        <v>91</v>
      </c>
      <c r="E23" s="162">
        <v>240</v>
      </c>
      <c r="F23" s="164" t="e">
        <f>'приложение 4'!#REF!</f>
        <v>#REF!</v>
      </c>
      <c r="G23" s="164" t="e">
        <f>#REF!</f>
        <v>#REF!</v>
      </c>
      <c r="H23" s="164">
        <v>0</v>
      </c>
    </row>
    <row r="24" spans="1:8" ht="47.25">
      <c r="A24" s="161" t="s">
        <v>307</v>
      </c>
      <c r="B24" s="162" t="s">
        <v>289</v>
      </c>
      <c r="C24" s="163"/>
      <c r="D24" s="163"/>
      <c r="E24" s="162"/>
      <c r="F24" s="164" t="e">
        <f>F25</f>
        <v>#REF!</v>
      </c>
      <c r="G24" s="164" t="e">
        <f>G25</f>
        <v>#REF!</v>
      </c>
      <c r="H24" s="164">
        <v>0</v>
      </c>
    </row>
    <row r="25" spans="1:8" ht="31.5">
      <c r="A25" s="161" t="s">
        <v>299</v>
      </c>
      <c r="B25" s="162" t="s">
        <v>308</v>
      </c>
      <c r="C25" s="163"/>
      <c r="D25" s="163"/>
      <c r="E25" s="162"/>
      <c r="F25" s="164" t="e">
        <f>F26</f>
        <v>#REF!</v>
      </c>
      <c r="G25" s="164" t="e">
        <f>G26</f>
        <v>#REF!</v>
      </c>
      <c r="H25" s="164">
        <v>0</v>
      </c>
    </row>
    <row r="26" spans="1:8" ht="47.25">
      <c r="A26" s="161" t="s">
        <v>277</v>
      </c>
      <c r="B26" s="162" t="s">
        <v>308</v>
      </c>
      <c r="C26" s="163" t="s">
        <v>92</v>
      </c>
      <c r="D26" s="163" t="s">
        <v>91</v>
      </c>
      <c r="E26" s="162">
        <v>240</v>
      </c>
      <c r="F26" s="164" t="e">
        <f>'приложение 4'!#REF!</f>
        <v>#REF!</v>
      </c>
      <c r="G26" s="164" t="e">
        <f>#REF!</f>
        <v>#REF!</v>
      </c>
      <c r="H26" s="164">
        <v>0</v>
      </c>
    </row>
    <row r="27" spans="1:8" ht="63">
      <c r="A27" s="161" t="s">
        <v>418</v>
      </c>
      <c r="B27" s="162" t="s">
        <v>297</v>
      </c>
      <c r="C27" s="163"/>
      <c r="D27" s="163"/>
      <c r="E27" s="162"/>
      <c r="F27" s="164" t="e">
        <f>#REF!</f>
        <v>#REF!</v>
      </c>
      <c r="G27" s="164" t="e">
        <f>G28</f>
        <v>#REF!</v>
      </c>
      <c r="H27" s="164">
        <v>0</v>
      </c>
    </row>
    <row r="28" spans="1:8" ht="94.5">
      <c r="A28" s="161" t="s">
        <v>17</v>
      </c>
      <c r="B28" s="162" t="s">
        <v>18</v>
      </c>
      <c r="C28" s="163"/>
      <c r="D28" s="163"/>
      <c r="E28" s="162"/>
      <c r="F28" s="164"/>
      <c r="G28" s="164" t="e">
        <f>G29</f>
        <v>#REF!</v>
      </c>
      <c r="H28" s="164">
        <v>0</v>
      </c>
    </row>
    <row r="29" spans="1:8" ht="47.25">
      <c r="A29" s="161" t="s">
        <v>277</v>
      </c>
      <c r="B29" s="162" t="s">
        <v>18</v>
      </c>
      <c r="C29" s="163" t="s">
        <v>285</v>
      </c>
      <c r="D29" s="163" t="s">
        <v>91</v>
      </c>
      <c r="E29" s="162">
        <v>240</v>
      </c>
      <c r="F29" s="164"/>
      <c r="G29" s="164" t="e">
        <f>#REF!</f>
        <v>#REF!</v>
      </c>
      <c r="H29" s="164">
        <v>0</v>
      </c>
    </row>
    <row r="30" spans="1:8" s="148" customFormat="1" ht="94.5">
      <c r="A30" s="152" t="s">
        <v>27</v>
      </c>
      <c r="B30" s="139" t="s">
        <v>74</v>
      </c>
      <c r="C30" s="140"/>
      <c r="D30" s="140"/>
      <c r="E30" s="139"/>
      <c r="F30" s="143" t="e">
        <f aca="true" t="shared" si="0" ref="F30:G32">F31</f>
        <v>#REF!</v>
      </c>
      <c r="G30" s="143">
        <f t="shared" si="0"/>
        <v>30</v>
      </c>
      <c r="H30" s="143">
        <v>0</v>
      </c>
    </row>
    <row r="31" spans="1:8" ht="63">
      <c r="A31" s="153" t="s">
        <v>28</v>
      </c>
      <c r="B31" s="138" t="s">
        <v>75</v>
      </c>
      <c r="C31" s="141"/>
      <c r="D31" s="141"/>
      <c r="E31" s="138"/>
      <c r="F31" s="142" t="e">
        <f t="shared" si="0"/>
        <v>#REF!</v>
      </c>
      <c r="G31" s="142">
        <f t="shared" si="0"/>
        <v>30</v>
      </c>
      <c r="H31" s="142">
        <v>0</v>
      </c>
    </row>
    <row r="32" spans="1:8" ht="47.25">
      <c r="A32" s="153" t="s">
        <v>30</v>
      </c>
      <c r="B32" s="138" t="s">
        <v>31</v>
      </c>
      <c r="C32" s="141"/>
      <c r="D32" s="141"/>
      <c r="E32" s="138"/>
      <c r="F32" s="142" t="e">
        <f t="shared" si="0"/>
        <v>#REF!</v>
      </c>
      <c r="G32" s="142">
        <f t="shared" si="0"/>
        <v>30</v>
      </c>
      <c r="H32" s="142">
        <v>0</v>
      </c>
    </row>
    <row r="33" spans="1:8" ht="47.25">
      <c r="A33" s="153" t="s">
        <v>277</v>
      </c>
      <c r="B33" s="138" t="s">
        <v>31</v>
      </c>
      <c r="C33" s="141" t="s">
        <v>285</v>
      </c>
      <c r="D33" s="141" t="s">
        <v>98</v>
      </c>
      <c r="E33" s="138">
        <v>240</v>
      </c>
      <c r="F33" s="142" t="e">
        <f>'приложение 4'!#REF!</f>
        <v>#REF!</v>
      </c>
      <c r="G33" s="142">
        <v>30</v>
      </c>
      <c r="H33" s="142">
        <v>0</v>
      </c>
    </row>
    <row r="34" spans="1:8" s="148" customFormat="1" ht="110.25">
      <c r="A34" s="152" t="s">
        <v>323</v>
      </c>
      <c r="B34" s="139" t="s">
        <v>24</v>
      </c>
      <c r="C34" s="140"/>
      <c r="D34" s="140"/>
      <c r="E34" s="139"/>
      <c r="F34" s="143">
        <f>F36+F38</f>
        <v>4274.9</v>
      </c>
      <c r="G34" s="143" t="e">
        <f>G35</f>
        <v>#REF!</v>
      </c>
      <c r="H34" s="143" t="e">
        <f>H35</f>
        <v>#REF!</v>
      </c>
    </row>
    <row r="35" spans="1:8" s="148" customFormat="1" ht="63">
      <c r="A35" s="161" t="s">
        <v>385</v>
      </c>
      <c r="B35" s="162" t="s">
        <v>386</v>
      </c>
      <c r="C35" s="140"/>
      <c r="D35" s="140"/>
      <c r="E35" s="139"/>
      <c r="F35" s="143"/>
      <c r="G35" s="164" t="e">
        <f>G36+G38</f>
        <v>#REF!</v>
      </c>
      <c r="H35" s="164" t="e">
        <f>H36+H38</f>
        <v>#REF!</v>
      </c>
    </row>
    <row r="36" spans="1:8" ht="63">
      <c r="A36" s="161" t="s">
        <v>319</v>
      </c>
      <c r="B36" s="162" t="s">
        <v>329</v>
      </c>
      <c r="C36" s="163"/>
      <c r="D36" s="163"/>
      <c r="E36" s="162"/>
      <c r="F36" s="164">
        <f>F37</f>
        <v>4095.2</v>
      </c>
      <c r="G36" s="164" t="e">
        <f>G37</f>
        <v>#REF!</v>
      </c>
      <c r="H36" s="164" t="e">
        <f>H37</f>
        <v>#REF!</v>
      </c>
    </row>
    <row r="37" spans="1:8" ht="15.75">
      <c r="A37" s="161" t="s">
        <v>207</v>
      </c>
      <c r="B37" s="162" t="s">
        <v>329</v>
      </c>
      <c r="C37" s="163" t="s">
        <v>285</v>
      </c>
      <c r="D37" s="163" t="s">
        <v>106</v>
      </c>
      <c r="E37" s="162">
        <v>410</v>
      </c>
      <c r="F37" s="164">
        <f>'приложение 4'!Q208</f>
        <v>4095.2</v>
      </c>
      <c r="G37" s="164" t="e">
        <f>#REF!</f>
        <v>#REF!</v>
      </c>
      <c r="H37" s="164" t="e">
        <f>#REF!</f>
        <v>#REF!</v>
      </c>
    </row>
    <row r="38" spans="1:8" ht="63">
      <c r="A38" s="161" t="s">
        <v>331</v>
      </c>
      <c r="B38" s="162" t="s">
        <v>332</v>
      </c>
      <c r="C38" s="163"/>
      <c r="D38" s="163"/>
      <c r="E38" s="162"/>
      <c r="F38" s="164">
        <f>F39</f>
        <v>179.70000000000002</v>
      </c>
      <c r="G38" s="164" t="e">
        <f>G39</f>
        <v>#REF!</v>
      </c>
      <c r="H38" s="164" t="e">
        <f>H39</f>
        <v>#REF!</v>
      </c>
    </row>
    <row r="39" spans="1:8" ht="15.75">
      <c r="A39" s="161" t="s">
        <v>207</v>
      </c>
      <c r="B39" s="162" t="s">
        <v>332</v>
      </c>
      <c r="C39" s="163" t="s">
        <v>285</v>
      </c>
      <c r="D39" s="163" t="s">
        <v>106</v>
      </c>
      <c r="E39" s="162">
        <v>410</v>
      </c>
      <c r="F39" s="164">
        <f>'приложение 4'!Q211</f>
        <v>179.70000000000002</v>
      </c>
      <c r="G39" s="164" t="e">
        <f>#REF!</f>
        <v>#REF!</v>
      </c>
      <c r="H39" s="164" t="e">
        <f>#REF!</f>
        <v>#REF!</v>
      </c>
    </row>
    <row r="40" spans="1:8" s="148" customFormat="1" ht="78.75">
      <c r="A40" s="152" t="s">
        <v>269</v>
      </c>
      <c r="B40" s="139" t="s">
        <v>107</v>
      </c>
      <c r="C40" s="140"/>
      <c r="D40" s="140"/>
      <c r="E40" s="139"/>
      <c r="F40" s="143" t="e">
        <f>F41+F44+F49+F54+F62</f>
        <v>#REF!</v>
      </c>
      <c r="G40" s="143" t="e">
        <f>G41+G44+G49+G54+G62</f>
        <v>#REF!</v>
      </c>
      <c r="H40" s="143" t="e">
        <f>H41+H44+H49+H54+H62</f>
        <v>#REF!</v>
      </c>
    </row>
    <row r="41" spans="1:8" ht="78.75">
      <c r="A41" s="161" t="s">
        <v>169</v>
      </c>
      <c r="B41" s="162" t="s">
        <v>108</v>
      </c>
      <c r="C41" s="163"/>
      <c r="D41" s="163"/>
      <c r="E41" s="162"/>
      <c r="F41" s="164" t="e">
        <f aca="true" t="shared" si="1" ref="F41:H42">F42</f>
        <v>#REF!</v>
      </c>
      <c r="G41" s="164" t="e">
        <f t="shared" si="1"/>
        <v>#REF!</v>
      </c>
      <c r="H41" s="164" t="e">
        <f t="shared" si="1"/>
        <v>#REF!</v>
      </c>
    </row>
    <row r="42" spans="1:8" ht="94.5">
      <c r="A42" s="161" t="s">
        <v>187</v>
      </c>
      <c r="B42" s="162" t="s">
        <v>109</v>
      </c>
      <c r="C42" s="163"/>
      <c r="D42" s="163"/>
      <c r="E42" s="162"/>
      <c r="F42" s="164" t="e">
        <f t="shared" si="1"/>
        <v>#REF!</v>
      </c>
      <c r="G42" s="164" t="e">
        <f t="shared" si="1"/>
        <v>#REF!</v>
      </c>
      <c r="H42" s="164" t="e">
        <f t="shared" si="1"/>
        <v>#REF!</v>
      </c>
    </row>
    <row r="43" spans="1:8" ht="47.25">
      <c r="A43" s="161" t="s">
        <v>277</v>
      </c>
      <c r="B43" s="162" t="s">
        <v>109</v>
      </c>
      <c r="C43" s="163" t="s">
        <v>286</v>
      </c>
      <c r="D43" s="163" t="s">
        <v>94</v>
      </c>
      <c r="E43" s="162">
        <v>240</v>
      </c>
      <c r="F43" s="164" t="e">
        <f>'приложение 4'!#REF!</f>
        <v>#REF!</v>
      </c>
      <c r="G43" s="164" t="e">
        <f>#REF!</f>
        <v>#REF!</v>
      </c>
      <c r="H43" s="164" t="e">
        <f>#REF!</f>
        <v>#REF!</v>
      </c>
    </row>
    <row r="44" spans="1:8" ht="63">
      <c r="A44" s="161" t="s">
        <v>54</v>
      </c>
      <c r="B44" s="162" t="s">
        <v>110</v>
      </c>
      <c r="C44" s="163"/>
      <c r="D44" s="163"/>
      <c r="E44" s="162"/>
      <c r="F44" s="164">
        <f>F45+F47</f>
        <v>2380.1000000000004</v>
      </c>
      <c r="G44" s="164" t="e">
        <f>G45+G47</f>
        <v>#REF!</v>
      </c>
      <c r="H44" s="164" t="e">
        <f>H45+H47</f>
        <v>#REF!</v>
      </c>
    </row>
    <row r="45" spans="1:8" ht="15.75">
      <c r="A45" s="161" t="s">
        <v>57</v>
      </c>
      <c r="B45" s="162" t="s">
        <v>111</v>
      </c>
      <c r="C45" s="163"/>
      <c r="D45" s="163"/>
      <c r="E45" s="162"/>
      <c r="F45" s="164">
        <f>F46</f>
        <v>679.2</v>
      </c>
      <c r="G45" s="164" t="e">
        <f>G46</f>
        <v>#REF!</v>
      </c>
      <c r="H45" s="164" t="e">
        <f>H46</f>
        <v>#REF!</v>
      </c>
    </row>
    <row r="46" spans="1:8" ht="15.75">
      <c r="A46" s="161" t="s">
        <v>279</v>
      </c>
      <c r="B46" s="162" t="s">
        <v>111</v>
      </c>
      <c r="C46" s="163" t="s">
        <v>286</v>
      </c>
      <c r="D46" s="163" t="s">
        <v>93</v>
      </c>
      <c r="E46" s="162">
        <v>610</v>
      </c>
      <c r="F46" s="164">
        <f>'приложение 4'!Q553</f>
        <v>679.2</v>
      </c>
      <c r="G46" s="164" t="e">
        <f>#REF!</f>
        <v>#REF!</v>
      </c>
      <c r="H46" s="164" t="e">
        <f>#REF!</f>
        <v>#REF!</v>
      </c>
    </row>
    <row r="47" spans="1:8" ht="31.5">
      <c r="A47" s="161" t="s">
        <v>60</v>
      </c>
      <c r="B47" s="162" t="s">
        <v>112</v>
      </c>
      <c r="C47" s="163"/>
      <c r="D47" s="163"/>
      <c r="E47" s="162"/>
      <c r="F47" s="164">
        <f>F48</f>
        <v>1700.9</v>
      </c>
      <c r="G47" s="164" t="e">
        <f>G48</f>
        <v>#REF!</v>
      </c>
      <c r="H47" s="164" t="e">
        <f>H48</f>
        <v>#REF!</v>
      </c>
    </row>
    <row r="48" spans="1:8" ht="15.75">
      <c r="A48" s="161" t="s">
        <v>279</v>
      </c>
      <c r="B48" s="162" t="s">
        <v>112</v>
      </c>
      <c r="C48" s="163" t="s">
        <v>286</v>
      </c>
      <c r="D48" s="163" t="s">
        <v>96</v>
      </c>
      <c r="E48" s="162">
        <v>610</v>
      </c>
      <c r="F48" s="164">
        <f>'приложение 4'!Q579</f>
        <v>1700.9</v>
      </c>
      <c r="G48" s="164" t="e">
        <f>#REF!</f>
        <v>#REF!</v>
      </c>
      <c r="H48" s="164" t="e">
        <f>#REF!</f>
        <v>#REF!</v>
      </c>
    </row>
    <row r="49" spans="1:8" ht="47.25">
      <c r="A49" s="161" t="s">
        <v>51</v>
      </c>
      <c r="B49" s="162" t="s">
        <v>113</v>
      </c>
      <c r="C49" s="163"/>
      <c r="D49" s="163"/>
      <c r="E49" s="162"/>
      <c r="F49" s="164">
        <f>F50+F52</f>
        <v>29350.5</v>
      </c>
      <c r="G49" s="164" t="e">
        <f>G50+G52</f>
        <v>#REF!</v>
      </c>
      <c r="H49" s="164" t="e">
        <f>H50+H52</f>
        <v>#REF!</v>
      </c>
    </row>
    <row r="50" spans="1:8" ht="15.75">
      <c r="A50" s="161" t="s">
        <v>57</v>
      </c>
      <c r="B50" s="162" t="s">
        <v>114</v>
      </c>
      <c r="C50" s="163"/>
      <c r="D50" s="163"/>
      <c r="E50" s="162"/>
      <c r="F50" s="164">
        <f>F51</f>
        <v>29350.5</v>
      </c>
      <c r="G50" s="164" t="e">
        <f>G51</f>
        <v>#REF!</v>
      </c>
      <c r="H50" s="164" t="e">
        <f>H51</f>
        <v>#REF!</v>
      </c>
    </row>
    <row r="51" spans="1:8" ht="15.75">
      <c r="A51" s="161" t="s">
        <v>279</v>
      </c>
      <c r="B51" s="162" t="s">
        <v>114</v>
      </c>
      <c r="C51" s="163" t="s">
        <v>286</v>
      </c>
      <c r="D51" s="163" t="s">
        <v>93</v>
      </c>
      <c r="E51" s="162">
        <v>610</v>
      </c>
      <c r="F51" s="164">
        <f>'приложение 4'!Q556</f>
        <v>29350.5</v>
      </c>
      <c r="G51" s="164" t="e">
        <f>#REF!</f>
        <v>#REF!</v>
      </c>
      <c r="H51" s="164" t="e">
        <f>#REF!</f>
        <v>#REF!</v>
      </c>
    </row>
    <row r="52" spans="1:8" ht="31.5">
      <c r="A52" s="161" t="s">
        <v>60</v>
      </c>
      <c r="B52" s="162" t="s">
        <v>115</v>
      </c>
      <c r="C52" s="163"/>
      <c r="D52" s="163"/>
      <c r="E52" s="162"/>
      <c r="F52" s="164">
        <f>F53</f>
        <v>0</v>
      </c>
      <c r="G52" s="164" t="e">
        <f>G53</f>
        <v>#REF!</v>
      </c>
      <c r="H52" s="164" t="e">
        <f>H53</f>
        <v>#REF!</v>
      </c>
    </row>
    <row r="53" spans="1:8" ht="15.75">
      <c r="A53" s="161" t="s">
        <v>279</v>
      </c>
      <c r="B53" s="162" t="s">
        <v>115</v>
      </c>
      <c r="C53" s="163" t="s">
        <v>286</v>
      </c>
      <c r="D53" s="163" t="s">
        <v>96</v>
      </c>
      <c r="E53" s="162">
        <v>610</v>
      </c>
      <c r="F53" s="164">
        <f>'приложение 4'!Q582</f>
        <v>0</v>
      </c>
      <c r="G53" s="164" t="e">
        <f>#REF!</f>
        <v>#REF!</v>
      </c>
      <c r="H53" s="164" t="e">
        <f>#REF!</f>
        <v>#REF!</v>
      </c>
    </row>
    <row r="54" spans="1:8" ht="94.5">
      <c r="A54" s="161" t="s">
        <v>268</v>
      </c>
      <c r="B54" s="162" t="s">
        <v>116</v>
      </c>
      <c r="C54" s="163"/>
      <c r="D54" s="163"/>
      <c r="E54" s="162"/>
      <c r="F54" s="164" t="e">
        <f>F55+F57+F59</f>
        <v>#REF!</v>
      </c>
      <c r="G54" s="164" t="e">
        <f>G55+G57+G59</f>
        <v>#REF!</v>
      </c>
      <c r="H54" s="164" t="e">
        <f>H55+H57+H59</f>
        <v>#REF!</v>
      </c>
    </row>
    <row r="55" spans="1:8" ht="15.75">
      <c r="A55" s="161" t="s">
        <v>57</v>
      </c>
      <c r="B55" s="162" t="s">
        <v>117</v>
      </c>
      <c r="C55" s="163"/>
      <c r="D55" s="163"/>
      <c r="E55" s="162"/>
      <c r="F55" s="164">
        <f>F56</f>
        <v>550</v>
      </c>
      <c r="G55" s="164" t="e">
        <f>G56</f>
        <v>#REF!</v>
      </c>
      <c r="H55" s="164" t="e">
        <f>H56</f>
        <v>#REF!</v>
      </c>
    </row>
    <row r="56" spans="1:8" ht="15.75">
      <c r="A56" s="161" t="s">
        <v>279</v>
      </c>
      <c r="B56" s="162" t="s">
        <v>117</v>
      </c>
      <c r="C56" s="163" t="s">
        <v>286</v>
      </c>
      <c r="D56" s="163" t="s">
        <v>93</v>
      </c>
      <c r="E56" s="162">
        <v>610</v>
      </c>
      <c r="F56" s="164">
        <f>'приложение 4'!Q559</f>
        <v>550</v>
      </c>
      <c r="G56" s="164" t="e">
        <f>#REF!</f>
        <v>#REF!</v>
      </c>
      <c r="H56" s="164" t="e">
        <f>#REF!</f>
        <v>#REF!</v>
      </c>
    </row>
    <row r="57" spans="1:8" ht="31.5">
      <c r="A57" s="161" t="s">
        <v>60</v>
      </c>
      <c r="B57" s="162" t="s">
        <v>118</v>
      </c>
      <c r="C57" s="163"/>
      <c r="D57" s="163"/>
      <c r="E57" s="162"/>
      <c r="F57" s="164">
        <f>F58</f>
        <v>0</v>
      </c>
      <c r="G57" s="164" t="e">
        <f>G58</f>
        <v>#REF!</v>
      </c>
      <c r="H57" s="164" t="e">
        <f>H58</f>
        <v>#REF!</v>
      </c>
    </row>
    <row r="58" spans="1:8" ht="15.75">
      <c r="A58" s="161" t="s">
        <v>279</v>
      </c>
      <c r="B58" s="162" t="s">
        <v>118</v>
      </c>
      <c r="C58" s="163" t="s">
        <v>286</v>
      </c>
      <c r="D58" s="163" t="s">
        <v>96</v>
      </c>
      <c r="E58" s="162">
        <v>610</v>
      </c>
      <c r="F58" s="164">
        <f>'приложение 4'!Q585</f>
        <v>0</v>
      </c>
      <c r="G58" s="164" t="e">
        <f>#REF!</f>
        <v>#REF!</v>
      </c>
      <c r="H58" s="164" t="e">
        <f>#REF!</f>
        <v>#REF!</v>
      </c>
    </row>
    <row r="59" spans="1:8" ht="94.5">
      <c r="A59" s="161" t="s">
        <v>187</v>
      </c>
      <c r="B59" s="162" t="s">
        <v>119</v>
      </c>
      <c r="C59" s="163"/>
      <c r="D59" s="163"/>
      <c r="E59" s="162"/>
      <c r="F59" s="164" t="e">
        <f>SUM(F60:F61)</f>
        <v>#REF!</v>
      </c>
      <c r="G59" s="164" t="e">
        <f>SUM(G60:G61)</f>
        <v>#REF!</v>
      </c>
      <c r="H59" s="164" t="e">
        <f>SUM(H60:H61)</f>
        <v>#REF!</v>
      </c>
    </row>
    <row r="60" spans="1:8" ht="47.25">
      <c r="A60" s="161" t="s">
        <v>277</v>
      </c>
      <c r="B60" s="162" t="s">
        <v>119</v>
      </c>
      <c r="C60" s="163" t="s">
        <v>286</v>
      </c>
      <c r="D60" s="163" t="s">
        <v>94</v>
      </c>
      <c r="E60" s="162">
        <v>240</v>
      </c>
      <c r="F60" s="164" t="e">
        <f>'приложение 4'!#REF!</f>
        <v>#REF!</v>
      </c>
      <c r="G60" s="164" t="e">
        <f>#REF!</f>
        <v>#REF!</v>
      </c>
      <c r="H60" s="164" t="e">
        <f>#REF!</f>
        <v>#REF!</v>
      </c>
    </row>
    <row r="61" spans="1:8" ht="47.25">
      <c r="A61" s="161" t="s">
        <v>282</v>
      </c>
      <c r="B61" s="162" t="s">
        <v>119</v>
      </c>
      <c r="C61" s="163" t="s">
        <v>286</v>
      </c>
      <c r="D61" s="163" t="s">
        <v>94</v>
      </c>
      <c r="E61" s="162">
        <v>320</v>
      </c>
      <c r="F61" s="164" t="e">
        <f>'приложение 4'!#REF!</f>
        <v>#REF!</v>
      </c>
      <c r="G61" s="164" t="e">
        <f>#REF!</f>
        <v>#REF!</v>
      </c>
      <c r="H61" s="164" t="e">
        <f>#REF!</f>
        <v>#REF!</v>
      </c>
    </row>
    <row r="62" spans="1:8" ht="78.75">
      <c r="A62" s="161" t="s">
        <v>2</v>
      </c>
      <c r="B62" s="162" t="s">
        <v>120</v>
      </c>
      <c r="C62" s="163"/>
      <c r="D62" s="163"/>
      <c r="E62" s="162"/>
      <c r="F62" s="164" t="e">
        <f>F63+F65</f>
        <v>#REF!</v>
      </c>
      <c r="G62" s="164" t="e">
        <f>G63+G65</f>
        <v>#REF!</v>
      </c>
      <c r="H62" s="164" t="e">
        <f>H63+H65</f>
        <v>#REF!</v>
      </c>
    </row>
    <row r="63" spans="1:8" ht="31.5">
      <c r="A63" s="161" t="s">
        <v>60</v>
      </c>
      <c r="B63" s="162" t="s">
        <v>121</v>
      </c>
      <c r="C63" s="163"/>
      <c r="D63" s="163"/>
      <c r="E63" s="162"/>
      <c r="F63" s="164">
        <f>F64</f>
        <v>26287.6</v>
      </c>
      <c r="G63" s="164" t="e">
        <f>G64</f>
        <v>#REF!</v>
      </c>
      <c r="H63" s="164" t="e">
        <f>H64</f>
        <v>#REF!</v>
      </c>
    </row>
    <row r="64" spans="1:8" ht="15.75">
      <c r="A64" s="161" t="s">
        <v>279</v>
      </c>
      <c r="B64" s="162" t="s">
        <v>121</v>
      </c>
      <c r="C64" s="163" t="s">
        <v>286</v>
      </c>
      <c r="D64" s="163" t="s">
        <v>96</v>
      </c>
      <c r="E64" s="162">
        <v>610</v>
      </c>
      <c r="F64" s="164">
        <f>'приложение 4'!Q588</f>
        <v>26287.6</v>
      </c>
      <c r="G64" s="164" t="e">
        <f>#REF!</f>
        <v>#REF!</v>
      </c>
      <c r="H64" s="164" t="e">
        <f>#REF!</f>
        <v>#REF!</v>
      </c>
    </row>
    <row r="65" spans="1:8" ht="94.5">
      <c r="A65" s="161" t="s">
        <v>187</v>
      </c>
      <c r="B65" s="162" t="s">
        <v>122</v>
      </c>
      <c r="C65" s="163"/>
      <c r="D65" s="163"/>
      <c r="E65" s="162"/>
      <c r="F65" s="164" t="e">
        <f>F66</f>
        <v>#REF!</v>
      </c>
      <c r="G65" s="164" t="e">
        <f>G66</f>
        <v>#REF!</v>
      </c>
      <c r="H65" s="164" t="e">
        <f>H66</f>
        <v>#REF!</v>
      </c>
    </row>
    <row r="66" spans="1:8" ht="47.25">
      <c r="A66" s="161" t="s">
        <v>282</v>
      </c>
      <c r="B66" s="162" t="s">
        <v>122</v>
      </c>
      <c r="C66" s="163" t="s">
        <v>286</v>
      </c>
      <c r="D66" s="163" t="s">
        <v>94</v>
      </c>
      <c r="E66" s="162">
        <v>320</v>
      </c>
      <c r="F66" s="164" t="e">
        <f>'приложение 4'!#REF!</f>
        <v>#REF!</v>
      </c>
      <c r="G66" s="164" t="e">
        <f>#REF!</f>
        <v>#REF!</v>
      </c>
      <c r="H66" s="164" t="e">
        <f>#REF!</f>
        <v>#REF!</v>
      </c>
    </row>
    <row r="67" spans="1:8" s="148" customFormat="1" ht="63">
      <c r="A67" s="152" t="s">
        <v>266</v>
      </c>
      <c r="B67" s="139" t="s">
        <v>123</v>
      </c>
      <c r="C67" s="140"/>
      <c r="D67" s="140"/>
      <c r="E67" s="139"/>
      <c r="F67" s="143">
        <f>F68</f>
        <v>992.9000000000001</v>
      </c>
      <c r="G67" s="143" t="e">
        <f>G68+G73</f>
        <v>#REF!</v>
      </c>
      <c r="H67" s="143" t="e">
        <f>H68</f>
        <v>#REF!</v>
      </c>
    </row>
    <row r="68" spans="1:8" ht="31.5">
      <c r="A68" s="161" t="s">
        <v>48</v>
      </c>
      <c r="B68" s="162" t="s">
        <v>124</v>
      </c>
      <c r="C68" s="163"/>
      <c r="D68" s="163"/>
      <c r="E68" s="162"/>
      <c r="F68" s="164">
        <f>F69</f>
        <v>992.9000000000001</v>
      </c>
      <c r="G68" s="164" t="e">
        <f>G69+G71</f>
        <v>#REF!</v>
      </c>
      <c r="H68" s="164" t="e">
        <f>H69+H71</f>
        <v>#REF!</v>
      </c>
    </row>
    <row r="69" spans="1:8" ht="31.5">
      <c r="A69" s="161" t="s">
        <v>47</v>
      </c>
      <c r="B69" s="162" t="s">
        <v>125</v>
      </c>
      <c r="C69" s="163"/>
      <c r="D69" s="163"/>
      <c r="E69" s="162"/>
      <c r="F69" s="164">
        <f>F70</f>
        <v>992.9000000000001</v>
      </c>
      <c r="G69" s="164" t="e">
        <f>G70</f>
        <v>#REF!</v>
      </c>
      <c r="H69" s="164" t="e">
        <f>H70</f>
        <v>#REF!</v>
      </c>
    </row>
    <row r="70" spans="1:8" ht="15.75">
      <c r="A70" s="161" t="s">
        <v>279</v>
      </c>
      <c r="B70" s="162" t="s">
        <v>125</v>
      </c>
      <c r="C70" s="163" t="s">
        <v>285</v>
      </c>
      <c r="D70" s="163" t="s">
        <v>126</v>
      </c>
      <c r="E70" s="162">
        <v>610</v>
      </c>
      <c r="F70" s="164">
        <f>'приложение 4'!Q405</f>
        <v>992.9000000000001</v>
      </c>
      <c r="G70" s="164" t="e">
        <f>#REF!</f>
        <v>#REF!</v>
      </c>
      <c r="H70" s="164" t="e">
        <f>#REF!</f>
        <v>#REF!</v>
      </c>
    </row>
    <row r="71" spans="1:8" ht="78.75">
      <c r="A71" s="8" t="s">
        <v>353</v>
      </c>
      <c r="B71" s="162" t="s">
        <v>358</v>
      </c>
      <c r="C71" s="141"/>
      <c r="D71" s="141"/>
      <c r="E71" s="138"/>
      <c r="F71" s="164"/>
      <c r="G71" s="164" t="e">
        <f>G72</f>
        <v>#REF!</v>
      </c>
      <c r="H71" s="164" t="e">
        <f>H72</f>
        <v>#REF!</v>
      </c>
    </row>
    <row r="72" spans="1:8" ht="15.75">
      <c r="A72" s="8" t="s">
        <v>279</v>
      </c>
      <c r="B72" s="162" t="s">
        <v>358</v>
      </c>
      <c r="C72" s="163" t="s">
        <v>285</v>
      </c>
      <c r="D72" s="163" t="s">
        <v>126</v>
      </c>
      <c r="E72" s="138">
        <v>610</v>
      </c>
      <c r="F72" s="164"/>
      <c r="G72" s="164" t="e">
        <f>#REF!</f>
        <v>#REF!</v>
      </c>
      <c r="H72" s="164" t="e">
        <f>#REF!</f>
        <v>#REF!</v>
      </c>
    </row>
    <row r="73" spans="1:8" ht="63">
      <c r="A73" s="161" t="s">
        <v>267</v>
      </c>
      <c r="B73" s="162" t="s">
        <v>127</v>
      </c>
      <c r="C73" s="163"/>
      <c r="D73" s="163"/>
      <c r="E73" s="162"/>
      <c r="F73" s="164"/>
      <c r="G73" s="164" t="e">
        <f>G74</f>
        <v>#REF!</v>
      </c>
      <c r="H73" s="164">
        <v>0</v>
      </c>
    </row>
    <row r="74" spans="1:8" ht="15.75">
      <c r="A74" s="161" t="s">
        <v>279</v>
      </c>
      <c r="B74" s="162" t="s">
        <v>127</v>
      </c>
      <c r="C74" s="163" t="s">
        <v>285</v>
      </c>
      <c r="D74" s="163" t="s">
        <v>126</v>
      </c>
      <c r="E74" s="162">
        <v>610</v>
      </c>
      <c r="F74" s="164"/>
      <c r="G74" s="164" t="e">
        <f>#REF!</f>
        <v>#REF!</v>
      </c>
      <c r="H74" s="164">
        <v>0</v>
      </c>
    </row>
    <row r="75" spans="1:8" s="148" customFormat="1" ht="63">
      <c r="A75" s="152" t="s">
        <v>84</v>
      </c>
      <c r="B75" s="139" t="s">
        <v>128</v>
      </c>
      <c r="C75" s="140"/>
      <c r="D75" s="140"/>
      <c r="E75" s="139"/>
      <c r="F75" s="143"/>
      <c r="G75" s="143" t="e">
        <f>G76+G79+G84</f>
        <v>#REF!</v>
      </c>
      <c r="H75" s="143" t="e">
        <f>H76+H79+H84</f>
        <v>#REF!</v>
      </c>
    </row>
    <row r="76" spans="1:8" ht="94.5">
      <c r="A76" s="161" t="s">
        <v>69</v>
      </c>
      <c r="B76" s="162" t="s">
        <v>129</v>
      </c>
      <c r="C76" s="163"/>
      <c r="D76" s="163"/>
      <c r="E76" s="162"/>
      <c r="F76" s="164"/>
      <c r="G76" s="164" t="e">
        <f>G77</f>
        <v>#REF!</v>
      </c>
      <c r="H76" s="164" t="e">
        <f>H77</f>
        <v>#REF!</v>
      </c>
    </row>
    <row r="77" spans="1:8" ht="15.75">
      <c r="A77" s="161" t="s">
        <v>8</v>
      </c>
      <c r="B77" s="162" t="s">
        <v>130</v>
      </c>
      <c r="C77" s="163"/>
      <c r="D77" s="163"/>
      <c r="E77" s="162"/>
      <c r="F77" s="164"/>
      <c r="G77" s="164" t="e">
        <f>G78</f>
        <v>#REF!</v>
      </c>
      <c r="H77" s="164" t="e">
        <f>H78</f>
        <v>#REF!</v>
      </c>
    </row>
    <row r="78" spans="1:8" ht="15.75">
      <c r="A78" s="161" t="s">
        <v>279</v>
      </c>
      <c r="B78" s="162" t="s">
        <v>130</v>
      </c>
      <c r="C78" s="163" t="s">
        <v>285</v>
      </c>
      <c r="D78" s="163" t="s">
        <v>98</v>
      </c>
      <c r="E78" s="162">
        <v>610</v>
      </c>
      <c r="F78" s="164"/>
      <c r="G78" s="164" t="e">
        <f>#REF!</f>
        <v>#REF!</v>
      </c>
      <c r="H78" s="164" t="e">
        <f>#REF!</f>
        <v>#REF!</v>
      </c>
    </row>
    <row r="79" spans="1:8" ht="47.25">
      <c r="A79" s="161" t="s">
        <v>251</v>
      </c>
      <c r="B79" s="162" t="s">
        <v>131</v>
      </c>
      <c r="C79" s="163"/>
      <c r="D79" s="163"/>
      <c r="E79" s="162"/>
      <c r="F79" s="164"/>
      <c r="G79" s="164" t="e">
        <f>G80+G82</f>
        <v>#REF!</v>
      </c>
      <c r="H79" s="164" t="e">
        <f>H80+H82</f>
        <v>#REF!</v>
      </c>
    </row>
    <row r="80" spans="1:8" ht="15.75">
      <c r="A80" s="161" t="s">
        <v>8</v>
      </c>
      <c r="B80" s="162" t="s">
        <v>132</v>
      </c>
      <c r="C80" s="163"/>
      <c r="D80" s="163"/>
      <c r="E80" s="162"/>
      <c r="F80" s="164"/>
      <c r="G80" s="164" t="e">
        <f>G81</f>
        <v>#REF!</v>
      </c>
      <c r="H80" s="164" t="e">
        <f>H81</f>
        <v>#REF!</v>
      </c>
    </row>
    <row r="81" spans="1:8" ht="15.75">
      <c r="A81" s="161" t="s">
        <v>279</v>
      </c>
      <c r="B81" s="162" t="s">
        <v>132</v>
      </c>
      <c r="C81" s="163" t="s">
        <v>285</v>
      </c>
      <c r="D81" s="163" t="s">
        <v>98</v>
      </c>
      <c r="E81" s="162">
        <v>610</v>
      </c>
      <c r="F81" s="164"/>
      <c r="G81" s="164" t="e">
        <f>#REF!</f>
        <v>#REF!</v>
      </c>
      <c r="H81" s="164" t="e">
        <f>#REF!</f>
        <v>#REF!</v>
      </c>
    </row>
    <row r="82" spans="1:8" ht="78.75">
      <c r="A82" s="2" t="s">
        <v>353</v>
      </c>
      <c r="B82" s="162" t="s">
        <v>354</v>
      </c>
      <c r="C82" s="163"/>
      <c r="D82" s="163"/>
      <c r="E82" s="162"/>
      <c r="F82" s="164"/>
      <c r="G82" s="164" t="e">
        <f>G83</f>
        <v>#REF!</v>
      </c>
      <c r="H82" s="164" t="e">
        <f>H83</f>
        <v>#REF!</v>
      </c>
    </row>
    <row r="83" spans="1:8" ht="15.75">
      <c r="A83" s="2" t="s">
        <v>279</v>
      </c>
      <c r="B83" s="162" t="s">
        <v>354</v>
      </c>
      <c r="C83" s="163" t="s">
        <v>285</v>
      </c>
      <c r="D83" s="163" t="s">
        <v>98</v>
      </c>
      <c r="E83" s="162">
        <v>610</v>
      </c>
      <c r="F83" s="164"/>
      <c r="G83" s="164" t="e">
        <f>#REF!</f>
        <v>#REF!</v>
      </c>
      <c r="H83" s="164" t="e">
        <f>#REF!</f>
        <v>#REF!</v>
      </c>
    </row>
    <row r="84" spans="1:8" ht="63">
      <c r="A84" s="161" t="s">
        <v>26</v>
      </c>
      <c r="B84" s="162" t="s">
        <v>133</v>
      </c>
      <c r="C84" s="163"/>
      <c r="D84" s="163"/>
      <c r="E84" s="162"/>
      <c r="F84" s="164"/>
      <c r="G84" s="164" t="e">
        <f>G85</f>
        <v>#REF!</v>
      </c>
      <c r="H84" s="164" t="e">
        <f>H85</f>
        <v>#REF!</v>
      </c>
    </row>
    <row r="85" spans="1:8" ht="15.75">
      <c r="A85" s="161" t="s">
        <v>8</v>
      </c>
      <c r="B85" s="162" t="s">
        <v>134</v>
      </c>
      <c r="C85" s="163"/>
      <c r="D85" s="163"/>
      <c r="E85" s="162"/>
      <c r="F85" s="164"/>
      <c r="G85" s="164" t="e">
        <f>G86</f>
        <v>#REF!</v>
      </c>
      <c r="H85" s="164" t="e">
        <f>H86</f>
        <v>#REF!</v>
      </c>
    </row>
    <row r="86" spans="1:8" ht="15.75">
      <c r="A86" s="161" t="s">
        <v>279</v>
      </c>
      <c r="B86" s="162" t="s">
        <v>134</v>
      </c>
      <c r="C86" s="163" t="s">
        <v>285</v>
      </c>
      <c r="D86" s="163" t="s">
        <v>98</v>
      </c>
      <c r="E86" s="162">
        <v>610</v>
      </c>
      <c r="F86" s="164"/>
      <c r="G86" s="164" t="e">
        <f>#REF!</f>
        <v>#REF!</v>
      </c>
      <c r="H86" s="164" t="e">
        <f>#REF!</f>
        <v>#REF!</v>
      </c>
    </row>
    <row r="87" spans="1:8" ht="63">
      <c r="A87" s="152" t="s">
        <v>424</v>
      </c>
      <c r="B87" s="139" t="s">
        <v>425</v>
      </c>
      <c r="C87" s="140"/>
      <c r="D87" s="140"/>
      <c r="E87" s="139"/>
      <c r="F87" s="143" t="e">
        <f>F95+F37+F40</f>
        <v>#REF!</v>
      </c>
      <c r="G87" s="143" t="e">
        <f>G94+G88+G91</f>
        <v>#REF!</v>
      </c>
      <c r="H87" s="143" t="e">
        <f>H94+H88+H91</f>
        <v>#REF!</v>
      </c>
    </row>
    <row r="88" spans="1:8" ht="63">
      <c r="A88" s="13" t="s">
        <v>44</v>
      </c>
      <c r="B88" s="162" t="s">
        <v>428</v>
      </c>
      <c r="C88" s="163"/>
      <c r="D88" s="163"/>
      <c r="E88" s="176"/>
      <c r="F88" s="164"/>
      <c r="G88" s="164" t="e">
        <f>G89</f>
        <v>#REF!</v>
      </c>
      <c r="H88" s="164" t="e">
        <f>H89</f>
        <v>#REF!</v>
      </c>
    </row>
    <row r="89" spans="1:8" ht="15.75">
      <c r="A89" s="67" t="s">
        <v>13</v>
      </c>
      <c r="B89" s="162" t="s">
        <v>429</v>
      </c>
      <c r="C89" s="163"/>
      <c r="D89" s="163"/>
      <c r="E89" s="176"/>
      <c r="F89" s="164"/>
      <c r="G89" s="164" t="e">
        <f>G90</f>
        <v>#REF!</v>
      </c>
      <c r="H89" s="164" t="e">
        <f>H90</f>
        <v>#REF!</v>
      </c>
    </row>
    <row r="90" spans="1:8" ht="47.25">
      <c r="A90" s="67" t="s">
        <v>277</v>
      </c>
      <c r="B90" s="162" t="s">
        <v>429</v>
      </c>
      <c r="C90" s="163" t="s">
        <v>285</v>
      </c>
      <c r="D90" s="163" t="s">
        <v>99</v>
      </c>
      <c r="E90" s="177" t="s">
        <v>430</v>
      </c>
      <c r="F90" s="164"/>
      <c r="G90" s="164" t="e">
        <f>#REF!</f>
        <v>#REF!</v>
      </c>
      <c r="H90" s="164" t="e">
        <f>#REF!</f>
        <v>#REF!</v>
      </c>
    </row>
    <row r="91" spans="1:8" ht="63">
      <c r="A91" s="67" t="s">
        <v>45</v>
      </c>
      <c r="B91" s="162" t="s">
        <v>431</v>
      </c>
      <c r="C91" s="163"/>
      <c r="D91" s="163"/>
      <c r="E91" s="176"/>
      <c r="F91" s="164"/>
      <c r="G91" s="164" t="e">
        <f>G92</f>
        <v>#REF!</v>
      </c>
      <c r="H91" s="164" t="e">
        <f>H92</f>
        <v>#REF!</v>
      </c>
    </row>
    <row r="92" spans="1:8" ht="15.75">
      <c r="A92" s="67" t="s">
        <v>13</v>
      </c>
      <c r="B92" s="162" t="s">
        <v>432</v>
      </c>
      <c r="C92" s="163"/>
      <c r="D92" s="163"/>
      <c r="E92" s="176"/>
      <c r="F92" s="164"/>
      <c r="G92" s="164" t="e">
        <f>G93</f>
        <v>#REF!</v>
      </c>
      <c r="H92" s="164" t="e">
        <f>H93</f>
        <v>#REF!</v>
      </c>
    </row>
    <row r="93" spans="1:8" ht="47.25">
      <c r="A93" s="67" t="s">
        <v>277</v>
      </c>
      <c r="B93" s="162" t="s">
        <v>432</v>
      </c>
      <c r="C93" s="163" t="s">
        <v>285</v>
      </c>
      <c r="D93" s="163" t="s">
        <v>100</v>
      </c>
      <c r="E93" s="176">
        <v>240</v>
      </c>
      <c r="F93" s="164"/>
      <c r="G93" s="164" t="e">
        <f>#REF!</f>
        <v>#REF!</v>
      </c>
      <c r="H93" s="164" t="e">
        <f>#REF!</f>
        <v>#REF!</v>
      </c>
    </row>
    <row r="94" spans="1:8" ht="63">
      <c r="A94" s="161" t="s">
        <v>387</v>
      </c>
      <c r="B94" s="162" t="s">
        <v>426</v>
      </c>
      <c r="C94" s="163"/>
      <c r="D94" s="163"/>
      <c r="E94" s="162"/>
      <c r="F94" s="164"/>
      <c r="G94" s="164" t="e">
        <f>G95</f>
        <v>#REF!</v>
      </c>
      <c r="H94" s="164" t="e">
        <f>H95</f>
        <v>#REF!</v>
      </c>
    </row>
    <row r="95" spans="1:8" ht="47.25">
      <c r="A95" s="153" t="s">
        <v>254</v>
      </c>
      <c r="B95" s="162" t="s">
        <v>427</v>
      </c>
      <c r="C95" s="141"/>
      <c r="D95" s="141"/>
      <c r="E95" s="138"/>
      <c r="F95" s="142">
        <f>F96</f>
        <v>3.2</v>
      </c>
      <c r="G95" s="142" t="e">
        <f>G96</f>
        <v>#REF!</v>
      </c>
      <c r="H95" s="142" t="e">
        <f>H96</f>
        <v>#REF!</v>
      </c>
    </row>
    <row r="96" spans="1:8" ht="47.25">
      <c r="A96" s="153" t="s">
        <v>277</v>
      </c>
      <c r="B96" s="162" t="s">
        <v>427</v>
      </c>
      <c r="C96" s="141" t="s">
        <v>285</v>
      </c>
      <c r="D96" s="141" t="s">
        <v>99</v>
      </c>
      <c r="E96" s="138">
        <v>240</v>
      </c>
      <c r="F96" s="142">
        <f>'приложение 4'!Q94</f>
        <v>3.2</v>
      </c>
      <c r="G96" s="142" t="e">
        <f>#REF!</f>
        <v>#REF!</v>
      </c>
      <c r="H96" s="142" t="e">
        <f>#REF!</f>
        <v>#REF!</v>
      </c>
    </row>
    <row r="97" spans="1:8" s="148" customFormat="1" ht="78.75">
      <c r="A97" s="152" t="s">
        <v>271</v>
      </c>
      <c r="B97" s="139" t="s">
        <v>135</v>
      </c>
      <c r="C97" s="140"/>
      <c r="D97" s="140"/>
      <c r="E97" s="139"/>
      <c r="F97" s="143"/>
      <c r="G97" s="143" t="e">
        <f>G98+G102+G111</f>
        <v>#REF!</v>
      </c>
      <c r="H97" s="143" t="e">
        <f>H98+H102+H111</f>
        <v>#REF!</v>
      </c>
    </row>
    <row r="98" spans="1:8" ht="63">
      <c r="A98" s="161" t="s">
        <v>85</v>
      </c>
      <c r="B98" s="162" t="s">
        <v>136</v>
      </c>
      <c r="C98" s="163"/>
      <c r="D98" s="163"/>
      <c r="E98" s="162"/>
      <c r="F98" s="164"/>
      <c r="G98" s="164" t="e">
        <f aca="true" t="shared" si="2" ref="G98:H100">G99</f>
        <v>#REF!</v>
      </c>
      <c r="H98" s="164" t="e">
        <f t="shared" si="2"/>
        <v>#REF!</v>
      </c>
    </row>
    <row r="99" spans="1:8" ht="78.75">
      <c r="A99" s="161" t="s">
        <v>346</v>
      </c>
      <c r="B99" s="162" t="s">
        <v>137</v>
      </c>
      <c r="C99" s="163"/>
      <c r="D99" s="163"/>
      <c r="E99" s="162"/>
      <c r="F99" s="164"/>
      <c r="G99" s="164" t="e">
        <f t="shared" si="2"/>
        <v>#REF!</v>
      </c>
      <c r="H99" s="164" t="e">
        <f t="shared" si="2"/>
        <v>#REF!</v>
      </c>
    </row>
    <row r="100" spans="1:8" ht="31.5">
      <c r="A100" s="161" t="s">
        <v>64</v>
      </c>
      <c r="B100" s="162" t="s">
        <v>138</v>
      </c>
      <c r="C100" s="163"/>
      <c r="D100" s="163"/>
      <c r="E100" s="162"/>
      <c r="F100" s="164"/>
      <c r="G100" s="164" t="e">
        <f t="shared" si="2"/>
        <v>#REF!</v>
      </c>
      <c r="H100" s="164" t="e">
        <f t="shared" si="2"/>
        <v>#REF!</v>
      </c>
    </row>
    <row r="101" spans="1:8" ht="47.25">
      <c r="A101" s="161" t="s">
        <v>277</v>
      </c>
      <c r="B101" s="162" t="s">
        <v>138</v>
      </c>
      <c r="C101" s="163" t="s">
        <v>102</v>
      </c>
      <c r="D101" s="163" t="s">
        <v>101</v>
      </c>
      <c r="E101" s="162">
        <v>240</v>
      </c>
      <c r="F101" s="164"/>
      <c r="G101" s="164" t="e">
        <f>#REF!</f>
        <v>#REF!</v>
      </c>
      <c r="H101" s="164" t="e">
        <f>#REF!</f>
        <v>#REF!</v>
      </c>
    </row>
    <row r="102" spans="1:8" ht="78.75">
      <c r="A102" s="161" t="s">
        <v>272</v>
      </c>
      <c r="B102" s="162" t="s">
        <v>139</v>
      </c>
      <c r="C102" s="163"/>
      <c r="D102" s="163"/>
      <c r="E102" s="162"/>
      <c r="F102" s="164"/>
      <c r="G102" s="164" t="e">
        <f>G103+G108</f>
        <v>#REF!</v>
      </c>
      <c r="H102" s="164" t="e">
        <f>H103+H108</f>
        <v>#REF!</v>
      </c>
    </row>
    <row r="103" spans="1:8" ht="47.25">
      <c r="A103" s="161" t="s">
        <v>348</v>
      </c>
      <c r="B103" s="162" t="s">
        <v>140</v>
      </c>
      <c r="C103" s="163"/>
      <c r="D103" s="163"/>
      <c r="E103" s="162"/>
      <c r="F103" s="164"/>
      <c r="G103" s="164" t="e">
        <f>G104+G106</f>
        <v>#REF!</v>
      </c>
      <c r="H103" s="164" t="e">
        <f>H104+H106</f>
        <v>#REF!</v>
      </c>
    </row>
    <row r="104" spans="1:8" ht="141.75">
      <c r="A104" s="161" t="s">
        <v>181</v>
      </c>
      <c r="B104" s="162" t="s">
        <v>141</v>
      </c>
      <c r="C104" s="163"/>
      <c r="D104" s="163"/>
      <c r="E104" s="162"/>
      <c r="F104" s="164"/>
      <c r="G104" s="164" t="e">
        <f>G105</f>
        <v>#REF!</v>
      </c>
      <c r="H104" s="164" t="e">
        <f>H105</f>
        <v>#REF!</v>
      </c>
    </row>
    <row r="105" spans="1:8" ht="15.75">
      <c r="A105" s="161" t="s">
        <v>283</v>
      </c>
      <c r="B105" s="162" t="s">
        <v>141</v>
      </c>
      <c r="C105" s="163" t="s">
        <v>102</v>
      </c>
      <c r="D105" s="163" t="s">
        <v>103</v>
      </c>
      <c r="E105" s="162">
        <v>510</v>
      </c>
      <c r="F105" s="164"/>
      <c r="G105" s="164" t="e">
        <f>#REF!</f>
        <v>#REF!</v>
      </c>
      <c r="H105" s="164" t="e">
        <f>#REF!</f>
        <v>#REF!</v>
      </c>
    </row>
    <row r="106" spans="1:8" ht="31.5">
      <c r="A106" s="161" t="s">
        <v>351</v>
      </c>
      <c r="B106" s="162" t="s">
        <v>359</v>
      </c>
      <c r="C106" s="163"/>
      <c r="D106" s="163"/>
      <c r="E106" s="162"/>
      <c r="F106" s="164"/>
      <c r="G106" s="164" t="e">
        <f>G107</f>
        <v>#REF!</v>
      </c>
      <c r="H106" s="164" t="e">
        <f>H107</f>
        <v>#REF!</v>
      </c>
    </row>
    <row r="107" spans="1:8" ht="15.75">
      <c r="A107" s="161" t="s">
        <v>283</v>
      </c>
      <c r="B107" s="162" t="s">
        <v>359</v>
      </c>
      <c r="C107" s="163" t="s">
        <v>102</v>
      </c>
      <c r="D107" s="163" t="s">
        <v>103</v>
      </c>
      <c r="E107" s="162">
        <v>510</v>
      </c>
      <c r="F107" s="164"/>
      <c r="G107" s="164" t="e">
        <f>#REF!</f>
        <v>#REF!</v>
      </c>
      <c r="H107" s="164" t="e">
        <f>#REF!</f>
        <v>#REF!</v>
      </c>
    </row>
    <row r="108" spans="1:8" ht="47.25">
      <c r="A108" s="161" t="s">
        <v>350</v>
      </c>
      <c r="B108" s="162" t="s">
        <v>142</v>
      </c>
      <c r="C108" s="163"/>
      <c r="D108" s="163"/>
      <c r="E108" s="162"/>
      <c r="F108" s="164"/>
      <c r="G108" s="164" t="e">
        <f>G109</f>
        <v>#REF!</v>
      </c>
      <c r="H108" s="164" t="e">
        <f>H109</f>
        <v>#REF!</v>
      </c>
    </row>
    <row r="109" spans="1:8" ht="35.25" customHeight="1">
      <c r="A109" s="161" t="s">
        <v>349</v>
      </c>
      <c r="B109" s="162" t="s">
        <v>360</v>
      </c>
      <c r="C109" s="163"/>
      <c r="D109" s="163"/>
      <c r="E109" s="162"/>
      <c r="F109" s="164"/>
      <c r="G109" s="164" t="e">
        <f>G110</f>
        <v>#REF!</v>
      </c>
      <c r="H109" s="164" t="e">
        <f>H110</f>
        <v>#REF!</v>
      </c>
    </row>
    <row r="110" spans="1:8" ht="15.75">
      <c r="A110" s="161" t="s">
        <v>283</v>
      </c>
      <c r="B110" s="162" t="s">
        <v>360</v>
      </c>
      <c r="C110" s="163" t="s">
        <v>102</v>
      </c>
      <c r="D110" s="163" t="s">
        <v>104</v>
      </c>
      <c r="E110" s="162">
        <v>510</v>
      </c>
      <c r="F110" s="164"/>
      <c r="G110" s="164" t="e">
        <f>#REF!</f>
        <v>#REF!</v>
      </c>
      <c r="H110" s="164" t="e">
        <f>#REF!</f>
        <v>#REF!</v>
      </c>
    </row>
    <row r="111" spans="1:8" ht="78.75">
      <c r="A111" s="161" t="s">
        <v>273</v>
      </c>
      <c r="B111" s="162" t="s">
        <v>143</v>
      </c>
      <c r="C111" s="163"/>
      <c r="D111" s="163"/>
      <c r="E111" s="162"/>
      <c r="F111" s="164"/>
      <c r="G111" s="164" t="e">
        <f>G112+G117</f>
        <v>#REF!</v>
      </c>
      <c r="H111" s="164" t="e">
        <f>H112+H117</f>
        <v>#REF!</v>
      </c>
    </row>
    <row r="112" spans="1:8" ht="126">
      <c r="A112" s="161" t="s">
        <v>270</v>
      </c>
      <c r="B112" s="162" t="s">
        <v>144</v>
      </c>
      <c r="C112" s="163"/>
      <c r="D112" s="163"/>
      <c r="E112" s="162"/>
      <c r="F112" s="164"/>
      <c r="G112" s="164" t="e">
        <f>G113</f>
        <v>#REF!</v>
      </c>
      <c r="H112" s="164" t="e">
        <f>H113</f>
        <v>#REF!</v>
      </c>
    </row>
    <row r="113" spans="1:8" ht="31.5">
      <c r="A113" s="161" t="s">
        <v>64</v>
      </c>
      <c r="B113" s="162" t="s">
        <v>145</v>
      </c>
      <c r="C113" s="163"/>
      <c r="D113" s="163"/>
      <c r="E113" s="162"/>
      <c r="F113" s="164"/>
      <c r="G113" s="164" t="e">
        <f>SUM(G114:G116)</f>
        <v>#REF!</v>
      </c>
      <c r="H113" s="164" t="e">
        <f>SUM(H114:H116)</f>
        <v>#REF!</v>
      </c>
    </row>
    <row r="114" spans="1:8" ht="37.5" customHeight="1">
      <c r="A114" s="161" t="s">
        <v>210</v>
      </c>
      <c r="B114" s="162" t="s">
        <v>145</v>
      </c>
      <c r="C114" s="163" t="s">
        <v>102</v>
      </c>
      <c r="D114" s="163" t="s">
        <v>101</v>
      </c>
      <c r="E114" s="162">
        <v>120</v>
      </c>
      <c r="F114" s="164"/>
      <c r="G114" s="164" t="e">
        <f>#REF!</f>
        <v>#REF!</v>
      </c>
      <c r="H114" s="164" t="e">
        <f>#REF!</f>
        <v>#REF!</v>
      </c>
    </row>
    <row r="115" spans="1:8" ht="47.25">
      <c r="A115" s="161" t="s">
        <v>277</v>
      </c>
      <c r="B115" s="162" t="s">
        <v>145</v>
      </c>
      <c r="C115" s="163" t="s">
        <v>102</v>
      </c>
      <c r="D115" s="163" t="s">
        <v>101</v>
      </c>
      <c r="E115" s="162">
        <v>240</v>
      </c>
      <c r="F115" s="164"/>
      <c r="G115" s="164" t="e">
        <f>#REF!</f>
        <v>#REF!</v>
      </c>
      <c r="H115" s="164" t="e">
        <f>#REF!</f>
        <v>#REF!</v>
      </c>
    </row>
    <row r="116" spans="1:8" ht="15.75">
      <c r="A116" s="161" t="s">
        <v>278</v>
      </c>
      <c r="B116" s="162" t="s">
        <v>145</v>
      </c>
      <c r="C116" s="163" t="s">
        <v>102</v>
      </c>
      <c r="D116" s="163" t="s">
        <v>101</v>
      </c>
      <c r="E116" s="162">
        <v>850</v>
      </c>
      <c r="F116" s="164"/>
      <c r="G116" s="164" t="e">
        <f>#REF!</f>
        <v>#REF!</v>
      </c>
      <c r="H116" s="164" t="e">
        <f>#REF!</f>
        <v>#REF!</v>
      </c>
    </row>
    <row r="117" spans="1:8" ht="63">
      <c r="A117" s="161" t="s">
        <v>274</v>
      </c>
      <c r="B117" s="162" t="s">
        <v>146</v>
      </c>
      <c r="C117" s="163"/>
      <c r="D117" s="163"/>
      <c r="E117" s="162"/>
      <c r="F117" s="164"/>
      <c r="G117" s="164" t="e">
        <f>G118</f>
        <v>#REF!</v>
      </c>
      <c r="H117" s="164" t="e">
        <f>H118</f>
        <v>#REF!</v>
      </c>
    </row>
    <row r="118" spans="1:8" ht="47.25">
      <c r="A118" s="161" t="s">
        <v>65</v>
      </c>
      <c r="B118" s="162" t="s">
        <v>147</v>
      </c>
      <c r="C118" s="163"/>
      <c r="D118" s="163"/>
      <c r="E118" s="162"/>
      <c r="F118" s="164"/>
      <c r="G118" s="164" t="e">
        <f>SUM(G119:G121)</f>
        <v>#REF!</v>
      </c>
      <c r="H118" s="164" t="e">
        <f>SUM(H119:H121)</f>
        <v>#REF!</v>
      </c>
    </row>
    <row r="119" spans="1:8" ht="31.5">
      <c r="A119" s="161" t="s">
        <v>280</v>
      </c>
      <c r="B119" s="162" t="s">
        <v>147</v>
      </c>
      <c r="C119" s="163" t="s">
        <v>102</v>
      </c>
      <c r="D119" s="163" t="s">
        <v>88</v>
      </c>
      <c r="E119" s="162">
        <v>110</v>
      </c>
      <c r="F119" s="164"/>
      <c r="G119" s="164" t="e">
        <f>#REF!</f>
        <v>#REF!</v>
      </c>
      <c r="H119" s="164" t="e">
        <f>#REF!</f>
        <v>#REF!</v>
      </c>
    </row>
    <row r="120" spans="1:8" ht="47.25">
      <c r="A120" s="161" t="s">
        <v>277</v>
      </c>
      <c r="B120" s="162" t="s">
        <v>147</v>
      </c>
      <c r="C120" s="163" t="s">
        <v>102</v>
      </c>
      <c r="D120" s="163" t="s">
        <v>88</v>
      </c>
      <c r="E120" s="162">
        <v>240</v>
      </c>
      <c r="F120" s="164"/>
      <c r="G120" s="164" t="e">
        <f>#REF!</f>
        <v>#REF!</v>
      </c>
      <c r="H120" s="164" t="e">
        <f>#REF!</f>
        <v>#REF!</v>
      </c>
    </row>
    <row r="121" spans="1:8" ht="15.75">
      <c r="A121" s="161" t="s">
        <v>278</v>
      </c>
      <c r="B121" s="162" t="s">
        <v>147</v>
      </c>
      <c r="C121" s="163" t="s">
        <v>102</v>
      </c>
      <c r="D121" s="163" t="s">
        <v>88</v>
      </c>
      <c r="E121" s="162">
        <v>850</v>
      </c>
      <c r="F121" s="164"/>
      <c r="G121" s="164" t="e">
        <f>#REF!</f>
        <v>#REF!</v>
      </c>
      <c r="H121" s="164" t="e">
        <f>#REF!</f>
        <v>#REF!</v>
      </c>
    </row>
    <row r="122" spans="1:8" s="148" customFormat="1" ht="63">
      <c r="A122" s="68" t="s">
        <v>256</v>
      </c>
      <c r="B122" s="139" t="s">
        <v>171</v>
      </c>
      <c r="C122" s="140"/>
      <c r="D122" s="140"/>
      <c r="E122" s="139"/>
      <c r="F122" s="143" t="e">
        <f>F123+F132+#REF!+F137</f>
        <v>#REF!</v>
      </c>
      <c r="G122" s="143" t="e">
        <f>G123+G132+G137</f>
        <v>#REF!</v>
      </c>
      <c r="H122" s="143" t="e">
        <f>H123+H132+H137</f>
        <v>#REF!</v>
      </c>
    </row>
    <row r="123" spans="1:8" ht="63">
      <c r="A123" s="17" t="s">
        <v>38</v>
      </c>
      <c r="B123" s="162" t="s">
        <v>172</v>
      </c>
      <c r="C123" s="163"/>
      <c r="D123" s="163"/>
      <c r="E123" s="162"/>
      <c r="F123" s="164">
        <f>F124+F128+F130</f>
        <v>9278.699999999999</v>
      </c>
      <c r="G123" s="164" t="e">
        <f>G124+G128+G130+G126</f>
        <v>#REF!</v>
      </c>
      <c r="H123" s="164" t="e">
        <f>H124+H128+H130+H126</f>
        <v>#REF!</v>
      </c>
    </row>
    <row r="124" spans="1:8" ht="15.75">
      <c r="A124" s="17" t="s">
        <v>40</v>
      </c>
      <c r="B124" s="162" t="s">
        <v>173</v>
      </c>
      <c r="C124" s="163"/>
      <c r="D124" s="163"/>
      <c r="E124" s="162"/>
      <c r="F124" s="164">
        <f>F125</f>
        <v>8411</v>
      </c>
      <c r="G124" s="164" t="e">
        <f>G125</f>
        <v>#REF!</v>
      </c>
      <c r="H124" s="164" t="e">
        <f>H125</f>
        <v>#REF!</v>
      </c>
    </row>
    <row r="125" spans="1:8" ht="15.75">
      <c r="A125" s="161" t="s">
        <v>279</v>
      </c>
      <c r="B125" s="162" t="s">
        <v>173</v>
      </c>
      <c r="C125" s="163" t="s">
        <v>285</v>
      </c>
      <c r="D125" s="163" t="s">
        <v>174</v>
      </c>
      <c r="E125" s="162">
        <v>610</v>
      </c>
      <c r="F125" s="164">
        <f>'приложение 4'!Q308</f>
        <v>8411</v>
      </c>
      <c r="G125" s="164" t="e">
        <f>#REF!</f>
        <v>#REF!</v>
      </c>
      <c r="H125" s="164" t="e">
        <f>#REF!</f>
        <v>#REF!</v>
      </c>
    </row>
    <row r="126" spans="1:8" ht="78.75">
      <c r="A126" s="133" t="s">
        <v>353</v>
      </c>
      <c r="B126" s="162" t="s">
        <v>356</v>
      </c>
      <c r="C126" s="141"/>
      <c r="D126" s="141"/>
      <c r="E126" s="138"/>
      <c r="F126" s="164"/>
      <c r="G126" s="164" t="e">
        <f>G127</f>
        <v>#REF!</v>
      </c>
      <c r="H126" s="164" t="e">
        <f>H127</f>
        <v>#REF!</v>
      </c>
    </row>
    <row r="127" spans="1:8" ht="15.75">
      <c r="A127" s="133" t="s">
        <v>279</v>
      </c>
      <c r="B127" s="162" t="s">
        <v>356</v>
      </c>
      <c r="C127" s="163" t="s">
        <v>285</v>
      </c>
      <c r="D127" s="163" t="s">
        <v>174</v>
      </c>
      <c r="E127" s="138">
        <v>610</v>
      </c>
      <c r="F127" s="164"/>
      <c r="G127" s="164" t="e">
        <f>#REF!</f>
        <v>#REF!</v>
      </c>
      <c r="H127" s="164" t="e">
        <f>#REF!</f>
        <v>#REF!</v>
      </c>
    </row>
    <row r="128" spans="1:8" ht="47.25">
      <c r="A128" s="2" t="s">
        <v>320</v>
      </c>
      <c r="B128" s="162" t="s">
        <v>175</v>
      </c>
      <c r="C128" s="163"/>
      <c r="D128" s="163"/>
      <c r="E128" s="162"/>
      <c r="F128" s="164">
        <f>F129</f>
        <v>12.9</v>
      </c>
      <c r="G128" s="164" t="e">
        <f>G129</f>
        <v>#REF!</v>
      </c>
      <c r="H128" s="164" t="e">
        <f>H129</f>
        <v>#REF!</v>
      </c>
    </row>
    <row r="129" spans="1:8" ht="15.75">
      <c r="A129" s="161" t="s">
        <v>279</v>
      </c>
      <c r="B129" s="162" t="s">
        <v>175</v>
      </c>
      <c r="C129" s="163" t="s">
        <v>285</v>
      </c>
      <c r="D129" s="163" t="s">
        <v>174</v>
      </c>
      <c r="E129" s="162">
        <v>610</v>
      </c>
      <c r="F129" s="164">
        <f>'приложение 4'!Q312</f>
        <v>12.9</v>
      </c>
      <c r="G129" s="164" t="e">
        <f>#REF!</f>
        <v>#REF!</v>
      </c>
      <c r="H129" s="164" t="e">
        <f>#REF!</f>
        <v>#REF!</v>
      </c>
    </row>
    <row r="130" spans="1:8" ht="47.25">
      <c r="A130" s="2" t="s">
        <v>262</v>
      </c>
      <c r="B130" s="162" t="s">
        <v>176</v>
      </c>
      <c r="C130" s="163"/>
      <c r="D130" s="163"/>
      <c r="E130" s="162"/>
      <c r="F130" s="164">
        <f>F131</f>
        <v>854.8</v>
      </c>
      <c r="G130" s="164" t="e">
        <f>G131</f>
        <v>#REF!</v>
      </c>
      <c r="H130" s="164" t="e">
        <f>H131</f>
        <v>#REF!</v>
      </c>
    </row>
    <row r="131" spans="1:8" ht="15.75">
      <c r="A131" s="161" t="s">
        <v>279</v>
      </c>
      <c r="B131" s="162" t="s">
        <v>176</v>
      </c>
      <c r="C131" s="163" t="s">
        <v>285</v>
      </c>
      <c r="D131" s="163" t="s">
        <v>174</v>
      </c>
      <c r="E131" s="162">
        <v>610</v>
      </c>
      <c r="F131" s="164">
        <f>'приложение 4'!Q314</f>
        <v>854.8</v>
      </c>
      <c r="G131" s="164" t="e">
        <f>#REF!</f>
        <v>#REF!</v>
      </c>
      <c r="H131" s="164" t="e">
        <f>#REF!</f>
        <v>#REF!</v>
      </c>
    </row>
    <row r="132" spans="1:8" ht="63">
      <c r="A132" s="2" t="s">
        <v>263</v>
      </c>
      <c r="B132" s="162" t="s">
        <v>177</v>
      </c>
      <c r="C132" s="163"/>
      <c r="D132" s="163"/>
      <c r="E132" s="162"/>
      <c r="F132" s="164">
        <f aca="true" t="shared" si="3" ref="F132:H133">F133</f>
        <v>792.4</v>
      </c>
      <c r="G132" s="164" t="e">
        <f>G133+G135</f>
        <v>#REF!</v>
      </c>
      <c r="H132" s="164" t="e">
        <f>H133+H135</f>
        <v>#REF!</v>
      </c>
    </row>
    <row r="133" spans="1:8" ht="15.75">
      <c r="A133" s="2" t="s">
        <v>8</v>
      </c>
      <c r="B133" s="162" t="s">
        <v>178</v>
      </c>
      <c r="C133" s="163"/>
      <c r="D133" s="163"/>
      <c r="E133" s="162"/>
      <c r="F133" s="164">
        <f t="shared" si="3"/>
        <v>792.4</v>
      </c>
      <c r="G133" s="164" t="e">
        <f t="shared" si="3"/>
        <v>#REF!</v>
      </c>
      <c r="H133" s="164" t="e">
        <f t="shared" si="3"/>
        <v>#REF!</v>
      </c>
    </row>
    <row r="134" spans="1:8" ht="15.75">
      <c r="A134" s="161" t="s">
        <v>279</v>
      </c>
      <c r="B134" s="162" t="s">
        <v>178</v>
      </c>
      <c r="C134" s="163" t="s">
        <v>285</v>
      </c>
      <c r="D134" s="163" t="s">
        <v>174</v>
      </c>
      <c r="E134" s="162">
        <v>610</v>
      </c>
      <c r="F134" s="164">
        <f>'приложение 4'!Q319</f>
        <v>792.4</v>
      </c>
      <c r="G134" s="164" t="e">
        <f>#REF!</f>
        <v>#REF!</v>
      </c>
      <c r="H134" s="164" t="e">
        <f>#REF!</f>
        <v>#REF!</v>
      </c>
    </row>
    <row r="135" spans="1:8" ht="78.75">
      <c r="A135" s="2" t="s">
        <v>353</v>
      </c>
      <c r="B135" s="162" t="s">
        <v>357</v>
      </c>
      <c r="C135" s="163"/>
      <c r="D135" s="163"/>
      <c r="E135" s="162"/>
      <c r="F135" s="164"/>
      <c r="G135" s="164" t="e">
        <f>G136</f>
        <v>#REF!</v>
      </c>
      <c r="H135" s="164" t="e">
        <f>H136</f>
        <v>#REF!</v>
      </c>
    </row>
    <row r="136" spans="1:8" ht="15.75">
      <c r="A136" s="2" t="s">
        <v>279</v>
      </c>
      <c r="B136" s="162" t="s">
        <v>357</v>
      </c>
      <c r="C136" s="163" t="s">
        <v>285</v>
      </c>
      <c r="D136" s="163" t="s">
        <v>174</v>
      </c>
      <c r="E136" s="162">
        <v>610</v>
      </c>
      <c r="F136" s="164"/>
      <c r="G136" s="164" t="e">
        <f>#REF!</f>
        <v>#REF!</v>
      </c>
      <c r="H136" s="164" t="e">
        <f>#REF!</f>
        <v>#REF!</v>
      </c>
    </row>
    <row r="137" spans="1:8" ht="78.75">
      <c r="A137" s="19" t="s">
        <v>257</v>
      </c>
      <c r="B137" s="162" t="s">
        <v>179</v>
      </c>
      <c r="C137" s="163"/>
      <c r="D137" s="163"/>
      <c r="E137" s="162"/>
      <c r="F137" s="164">
        <f aca="true" t="shared" si="4" ref="F137:H138">F138</f>
        <v>794.9</v>
      </c>
      <c r="G137" s="164" t="e">
        <f>G138+G140</f>
        <v>#REF!</v>
      </c>
      <c r="H137" s="164" t="e">
        <f>H138+H140</f>
        <v>#REF!</v>
      </c>
    </row>
    <row r="138" spans="1:8" ht="31.5">
      <c r="A138" s="19" t="s">
        <v>61</v>
      </c>
      <c r="B138" s="162" t="s">
        <v>180</v>
      </c>
      <c r="C138" s="163"/>
      <c r="D138" s="163"/>
      <c r="E138" s="162"/>
      <c r="F138" s="164">
        <f t="shared" si="4"/>
        <v>794.9</v>
      </c>
      <c r="G138" s="164" t="e">
        <f t="shared" si="4"/>
        <v>#REF!</v>
      </c>
      <c r="H138" s="164" t="e">
        <f t="shared" si="4"/>
        <v>#REF!</v>
      </c>
    </row>
    <row r="139" spans="1:8" ht="15.75">
      <c r="A139" s="161" t="s">
        <v>279</v>
      </c>
      <c r="B139" s="162" t="s">
        <v>180</v>
      </c>
      <c r="C139" s="163" t="s">
        <v>285</v>
      </c>
      <c r="D139" s="163" t="s">
        <v>97</v>
      </c>
      <c r="E139" s="162">
        <v>610</v>
      </c>
      <c r="F139" s="164">
        <f>'приложение 4'!Q285</f>
        <v>794.9</v>
      </c>
      <c r="G139" s="164" t="e">
        <f>#REF!</f>
        <v>#REF!</v>
      </c>
      <c r="H139" s="164" t="e">
        <f>#REF!</f>
        <v>#REF!</v>
      </c>
    </row>
    <row r="140" spans="1:8" ht="78.75">
      <c r="A140" s="133" t="s">
        <v>353</v>
      </c>
      <c r="B140" s="162" t="s">
        <v>355</v>
      </c>
      <c r="C140" s="163"/>
      <c r="D140" s="163"/>
      <c r="E140" s="162"/>
      <c r="F140" s="164"/>
      <c r="G140" s="164" t="e">
        <f>G141</f>
        <v>#REF!</v>
      </c>
      <c r="H140" s="164" t="e">
        <f>H141</f>
        <v>#REF!</v>
      </c>
    </row>
    <row r="141" spans="1:8" ht="15.75">
      <c r="A141" s="133" t="s">
        <v>279</v>
      </c>
      <c r="B141" s="162" t="s">
        <v>355</v>
      </c>
      <c r="C141" s="163" t="s">
        <v>285</v>
      </c>
      <c r="D141" s="163" t="s">
        <v>97</v>
      </c>
      <c r="E141" s="162">
        <v>610</v>
      </c>
      <c r="F141" s="164"/>
      <c r="G141" s="164" t="e">
        <f>#REF!</f>
        <v>#REF!</v>
      </c>
      <c r="H141" s="164" t="e">
        <f>#REF!</f>
        <v>#REF!</v>
      </c>
    </row>
    <row r="142" spans="1:8" s="148" customFormat="1" ht="47.25">
      <c r="A142" s="152" t="s">
        <v>258</v>
      </c>
      <c r="B142" s="139" t="s">
        <v>148</v>
      </c>
      <c r="C142" s="140"/>
      <c r="D142" s="140"/>
      <c r="E142" s="139"/>
      <c r="F142" s="143" t="e">
        <f>F143+F146+F149+F152</f>
        <v>#REF!</v>
      </c>
      <c r="G142" s="143" t="e">
        <f>G143+G146+G149+G152</f>
        <v>#REF!</v>
      </c>
      <c r="H142" s="143" t="e">
        <f>H143+H146+H149+H152</f>
        <v>#REF!</v>
      </c>
    </row>
    <row r="143" spans="1:8" ht="78.75">
      <c r="A143" s="161" t="s">
        <v>259</v>
      </c>
      <c r="B143" s="162" t="s">
        <v>149</v>
      </c>
      <c r="C143" s="163"/>
      <c r="D143" s="163"/>
      <c r="E143" s="162"/>
      <c r="F143" s="164" t="e">
        <f>F144+#REF!</f>
        <v>#REF!</v>
      </c>
      <c r="G143" s="164" t="e">
        <f>G144</f>
        <v>#REF!</v>
      </c>
      <c r="H143" s="164" t="e">
        <f>H144</f>
        <v>#REF!</v>
      </c>
    </row>
    <row r="144" spans="1:8" ht="15.75">
      <c r="A144" s="161" t="s">
        <v>8</v>
      </c>
      <c r="B144" s="162" t="s">
        <v>150</v>
      </c>
      <c r="C144" s="163"/>
      <c r="D144" s="163"/>
      <c r="E144" s="162"/>
      <c r="F144" s="164">
        <f>F145</f>
        <v>360</v>
      </c>
      <c r="G144" s="164" t="e">
        <f>G145</f>
        <v>#REF!</v>
      </c>
      <c r="H144" s="164" t="e">
        <f>H145</f>
        <v>#REF!</v>
      </c>
    </row>
    <row r="145" spans="1:8" ht="15.75">
      <c r="A145" s="161" t="s">
        <v>279</v>
      </c>
      <c r="B145" s="162" t="s">
        <v>150</v>
      </c>
      <c r="C145" s="163" t="s">
        <v>285</v>
      </c>
      <c r="D145" s="163" t="s">
        <v>151</v>
      </c>
      <c r="E145" s="162">
        <v>610</v>
      </c>
      <c r="F145" s="164">
        <f>'приложение 4'!Q292</f>
        <v>360</v>
      </c>
      <c r="G145" s="164" t="e">
        <f>#REF!</f>
        <v>#REF!</v>
      </c>
      <c r="H145" s="164" t="e">
        <f>#REF!</f>
        <v>#REF!</v>
      </c>
    </row>
    <row r="146" spans="1:8" ht="94.5">
      <c r="A146" s="161" t="s">
        <v>260</v>
      </c>
      <c r="B146" s="162" t="s">
        <v>152</v>
      </c>
      <c r="C146" s="163"/>
      <c r="D146" s="163"/>
      <c r="E146" s="162"/>
      <c r="F146" s="164">
        <f aca="true" t="shared" si="5" ref="F146:H147">F147</f>
        <v>24.2</v>
      </c>
      <c r="G146" s="164" t="e">
        <f t="shared" si="5"/>
        <v>#REF!</v>
      </c>
      <c r="H146" s="164" t="e">
        <f t="shared" si="5"/>
        <v>#REF!</v>
      </c>
    </row>
    <row r="147" spans="1:8" ht="15.75">
      <c r="A147" s="161" t="s">
        <v>8</v>
      </c>
      <c r="B147" s="162" t="s">
        <v>153</v>
      </c>
      <c r="C147" s="163"/>
      <c r="D147" s="163"/>
      <c r="E147" s="162"/>
      <c r="F147" s="164">
        <f t="shared" si="5"/>
        <v>24.2</v>
      </c>
      <c r="G147" s="164" t="e">
        <f t="shared" si="5"/>
        <v>#REF!</v>
      </c>
      <c r="H147" s="164" t="e">
        <f t="shared" si="5"/>
        <v>#REF!</v>
      </c>
    </row>
    <row r="148" spans="1:8" ht="15.75">
      <c r="A148" s="161" t="s">
        <v>279</v>
      </c>
      <c r="B148" s="162" t="s">
        <v>153</v>
      </c>
      <c r="C148" s="163" t="s">
        <v>285</v>
      </c>
      <c r="D148" s="163" t="s">
        <v>151</v>
      </c>
      <c r="E148" s="162">
        <v>610</v>
      </c>
      <c r="F148" s="164">
        <f>'приложение 4'!Q299</f>
        <v>24.2</v>
      </c>
      <c r="G148" s="164" t="e">
        <f>#REF!</f>
        <v>#REF!</v>
      </c>
      <c r="H148" s="164" t="e">
        <f>#REF!</f>
        <v>#REF!</v>
      </c>
    </row>
    <row r="149" spans="1:8" ht="63">
      <c r="A149" s="161" t="s">
        <v>261</v>
      </c>
      <c r="B149" s="162" t="s">
        <v>154</v>
      </c>
      <c r="C149" s="163"/>
      <c r="D149" s="163"/>
      <c r="E149" s="162"/>
      <c r="F149" s="164">
        <f aca="true" t="shared" si="6" ref="F149:H150">F150</f>
        <v>8411</v>
      </c>
      <c r="G149" s="164" t="e">
        <f t="shared" si="6"/>
        <v>#REF!</v>
      </c>
      <c r="H149" s="164" t="e">
        <f t="shared" si="6"/>
        <v>#REF!</v>
      </c>
    </row>
    <row r="150" spans="1:8" ht="15.75">
      <c r="A150" s="161" t="s">
        <v>8</v>
      </c>
      <c r="B150" s="162" t="s">
        <v>155</v>
      </c>
      <c r="C150" s="163"/>
      <c r="D150" s="163"/>
      <c r="E150" s="162"/>
      <c r="F150" s="164">
        <f t="shared" si="6"/>
        <v>8411</v>
      </c>
      <c r="G150" s="164" t="e">
        <f t="shared" si="6"/>
        <v>#REF!</v>
      </c>
      <c r="H150" s="164" t="e">
        <f t="shared" si="6"/>
        <v>#REF!</v>
      </c>
    </row>
    <row r="151" spans="1:8" ht="15.75">
      <c r="A151" s="161" t="s">
        <v>279</v>
      </c>
      <c r="B151" s="162" t="s">
        <v>155</v>
      </c>
      <c r="C151" s="163" t="s">
        <v>285</v>
      </c>
      <c r="D151" s="163" t="s">
        <v>151</v>
      </c>
      <c r="E151" s="162">
        <v>610</v>
      </c>
      <c r="F151" s="164">
        <f>'приложение 4'!Q302</f>
        <v>8411</v>
      </c>
      <c r="G151" s="164" t="e">
        <f>#REF!</f>
        <v>#REF!</v>
      </c>
      <c r="H151" s="164" t="e">
        <f>#REF!</f>
        <v>#REF!</v>
      </c>
    </row>
    <row r="152" spans="1:8" ht="31.5">
      <c r="A152" s="161" t="s">
        <v>264</v>
      </c>
      <c r="B152" s="162" t="s">
        <v>156</v>
      </c>
      <c r="C152" s="163"/>
      <c r="D152" s="163"/>
      <c r="E152" s="162"/>
      <c r="F152" s="164">
        <f aca="true" t="shared" si="7" ref="F152:H153">F153</f>
        <v>1400.5</v>
      </c>
      <c r="G152" s="164" t="e">
        <f t="shared" si="7"/>
        <v>#REF!</v>
      </c>
      <c r="H152" s="164" t="e">
        <f t="shared" si="7"/>
        <v>#REF!</v>
      </c>
    </row>
    <row r="153" spans="1:8" ht="31.5">
      <c r="A153" s="161" t="s">
        <v>265</v>
      </c>
      <c r="B153" s="162" t="s">
        <v>157</v>
      </c>
      <c r="C153" s="163"/>
      <c r="D153" s="163"/>
      <c r="E153" s="162"/>
      <c r="F153" s="164">
        <f t="shared" si="7"/>
        <v>1400.5</v>
      </c>
      <c r="G153" s="164" t="e">
        <f t="shared" si="7"/>
        <v>#REF!</v>
      </c>
      <c r="H153" s="164" t="e">
        <f t="shared" si="7"/>
        <v>#REF!</v>
      </c>
    </row>
    <row r="154" spans="1:8" ht="47.25">
      <c r="A154" s="161" t="s">
        <v>282</v>
      </c>
      <c r="B154" s="162" t="s">
        <v>157</v>
      </c>
      <c r="C154" s="163" t="s">
        <v>285</v>
      </c>
      <c r="D154" s="163" t="s">
        <v>90</v>
      </c>
      <c r="E154" s="162">
        <v>320</v>
      </c>
      <c r="F154" s="164">
        <f>'приложение 4'!Q362</f>
        <v>1400.5</v>
      </c>
      <c r="G154" s="164" t="e">
        <f>#REF!</f>
        <v>#REF!</v>
      </c>
      <c r="H154" s="164" t="e">
        <f>#REF!</f>
        <v>#REF!</v>
      </c>
    </row>
    <row r="155" spans="1:8" s="148" customFormat="1" ht="78.75">
      <c r="A155" s="152" t="s">
        <v>316</v>
      </c>
      <c r="B155" s="139" t="s">
        <v>317</v>
      </c>
      <c r="C155" s="140"/>
      <c r="D155" s="140"/>
      <c r="E155" s="139"/>
      <c r="F155" s="143">
        <f>F157</f>
        <v>86144.90000000002</v>
      </c>
      <c r="G155" s="143" t="e">
        <f aca="true" t="shared" si="8" ref="G155:H157">G156</f>
        <v>#REF!</v>
      </c>
      <c r="H155" s="143" t="e">
        <f t="shared" si="8"/>
        <v>#REF!</v>
      </c>
    </row>
    <row r="156" spans="1:8" ht="78.75">
      <c r="A156" s="161" t="s">
        <v>388</v>
      </c>
      <c r="B156" s="162" t="s">
        <v>389</v>
      </c>
      <c r="C156" s="163"/>
      <c r="D156" s="163"/>
      <c r="E156" s="162"/>
      <c r="F156" s="164"/>
      <c r="G156" s="164" t="e">
        <f t="shared" si="8"/>
        <v>#REF!</v>
      </c>
      <c r="H156" s="164" t="e">
        <f t="shared" si="8"/>
        <v>#REF!</v>
      </c>
    </row>
    <row r="157" spans="1:8" ht="31.5">
      <c r="A157" s="161" t="s">
        <v>315</v>
      </c>
      <c r="B157" s="162" t="s">
        <v>158</v>
      </c>
      <c r="C157" s="163"/>
      <c r="D157" s="163"/>
      <c r="E157" s="162"/>
      <c r="F157" s="164">
        <f>F158</f>
        <v>86144.90000000002</v>
      </c>
      <c r="G157" s="164" t="e">
        <f t="shared" si="8"/>
        <v>#REF!</v>
      </c>
      <c r="H157" s="164" t="e">
        <f t="shared" si="8"/>
        <v>#REF!</v>
      </c>
    </row>
    <row r="158" spans="1:8" ht="47.25">
      <c r="A158" s="161" t="s">
        <v>277</v>
      </c>
      <c r="B158" s="162" t="s">
        <v>158</v>
      </c>
      <c r="C158" s="163" t="s">
        <v>285</v>
      </c>
      <c r="D158" s="163" t="s">
        <v>159</v>
      </c>
      <c r="E158" s="162">
        <v>240</v>
      </c>
      <c r="F158" s="164">
        <f>'приложение 4'!Q235</f>
        <v>86144.90000000002</v>
      </c>
      <c r="G158" s="164" t="e">
        <f>#REF!</f>
        <v>#REF!</v>
      </c>
      <c r="H158" s="164" t="e">
        <f>#REF!</f>
        <v>#REF!</v>
      </c>
    </row>
    <row r="159" spans="1:8" s="148" customFormat="1" ht="94.5">
      <c r="A159" s="152" t="s">
        <v>86</v>
      </c>
      <c r="B159" s="139" t="s">
        <v>160</v>
      </c>
      <c r="C159" s="140"/>
      <c r="D159" s="140"/>
      <c r="E159" s="139"/>
      <c r="F159" s="143">
        <f>F160+F163+F166+F169</f>
        <v>0</v>
      </c>
      <c r="G159" s="143">
        <v>0</v>
      </c>
      <c r="H159" s="143" t="e">
        <f>H160+H163+H166+H169</f>
        <v>#REF!</v>
      </c>
    </row>
    <row r="160" spans="1:8" ht="31.5">
      <c r="A160" s="161" t="s">
        <v>253</v>
      </c>
      <c r="B160" s="162" t="s">
        <v>161</v>
      </c>
      <c r="C160" s="163"/>
      <c r="D160" s="163"/>
      <c r="E160" s="162"/>
      <c r="F160" s="164">
        <f>F161</f>
        <v>0</v>
      </c>
      <c r="G160" s="164">
        <v>0</v>
      </c>
      <c r="H160" s="164" t="e">
        <f>H161</f>
        <v>#REF!</v>
      </c>
    </row>
    <row r="161" spans="1:8" ht="47.25">
      <c r="A161" s="161" t="s">
        <v>291</v>
      </c>
      <c r="B161" s="162" t="s">
        <v>162</v>
      </c>
      <c r="C161" s="163"/>
      <c r="D161" s="163"/>
      <c r="E161" s="162"/>
      <c r="F161" s="164">
        <f>F162</f>
        <v>0</v>
      </c>
      <c r="G161" s="164">
        <v>0</v>
      </c>
      <c r="H161" s="164" t="e">
        <f>H162</f>
        <v>#REF!</v>
      </c>
    </row>
    <row r="162" spans="1:8" ht="47.25">
      <c r="A162" s="161" t="s">
        <v>277</v>
      </c>
      <c r="B162" s="162" t="s">
        <v>162</v>
      </c>
      <c r="C162" s="163" t="s">
        <v>285</v>
      </c>
      <c r="D162" s="163" t="s">
        <v>91</v>
      </c>
      <c r="E162" s="162">
        <v>240</v>
      </c>
      <c r="F162" s="164"/>
      <c r="G162" s="164">
        <v>0</v>
      </c>
      <c r="H162" s="164" t="e">
        <f>#REF!</f>
        <v>#REF!</v>
      </c>
    </row>
    <row r="163" spans="1:8" ht="29.25" customHeight="1">
      <c r="A163" s="161" t="s">
        <v>3</v>
      </c>
      <c r="B163" s="162" t="s">
        <v>163</v>
      </c>
      <c r="C163" s="163"/>
      <c r="D163" s="163"/>
      <c r="E163" s="162"/>
      <c r="F163" s="164">
        <f>F164</f>
        <v>0</v>
      </c>
      <c r="G163" s="164">
        <v>0</v>
      </c>
      <c r="H163" s="164" t="e">
        <f>H164</f>
        <v>#REF!</v>
      </c>
    </row>
    <row r="164" spans="1:8" ht="31.5">
      <c r="A164" s="161" t="s">
        <v>299</v>
      </c>
      <c r="B164" s="162" t="s">
        <v>164</v>
      </c>
      <c r="C164" s="163"/>
      <c r="D164" s="163"/>
      <c r="E164" s="162"/>
      <c r="F164" s="164">
        <f>F165</f>
        <v>0</v>
      </c>
      <c r="G164" s="164">
        <v>0</v>
      </c>
      <c r="H164" s="164" t="e">
        <f>H165</f>
        <v>#REF!</v>
      </c>
    </row>
    <row r="165" spans="1:8" ht="47.25">
      <c r="A165" s="161" t="s">
        <v>277</v>
      </c>
      <c r="B165" s="162" t="s">
        <v>164</v>
      </c>
      <c r="C165" s="163" t="s">
        <v>285</v>
      </c>
      <c r="D165" s="163" t="s">
        <v>91</v>
      </c>
      <c r="E165" s="162">
        <v>240</v>
      </c>
      <c r="F165" s="164"/>
      <c r="G165" s="164">
        <v>0</v>
      </c>
      <c r="H165" s="164" t="e">
        <f>#REF!</f>
        <v>#REF!</v>
      </c>
    </row>
    <row r="166" spans="1:8" ht="47.25">
      <c r="A166" s="161" t="s">
        <v>307</v>
      </c>
      <c r="B166" s="162" t="s">
        <v>165</v>
      </c>
      <c r="C166" s="163"/>
      <c r="D166" s="163"/>
      <c r="E166" s="162"/>
      <c r="F166" s="164">
        <f>F167</f>
        <v>0</v>
      </c>
      <c r="G166" s="164">
        <v>0</v>
      </c>
      <c r="H166" s="164" t="e">
        <f>H167</f>
        <v>#REF!</v>
      </c>
    </row>
    <row r="167" spans="1:8" ht="31.5">
      <c r="A167" s="161" t="s">
        <v>299</v>
      </c>
      <c r="B167" s="162" t="s">
        <v>166</v>
      </c>
      <c r="C167" s="163"/>
      <c r="D167" s="163"/>
      <c r="E167" s="162"/>
      <c r="F167" s="164">
        <f>F168</f>
        <v>0</v>
      </c>
      <c r="G167" s="164">
        <v>0</v>
      </c>
      <c r="H167" s="164" t="e">
        <f>H168</f>
        <v>#REF!</v>
      </c>
    </row>
    <row r="168" spans="1:8" ht="47.25">
      <c r="A168" s="161" t="s">
        <v>277</v>
      </c>
      <c r="B168" s="162" t="s">
        <v>166</v>
      </c>
      <c r="C168" s="163" t="s">
        <v>92</v>
      </c>
      <c r="D168" s="163" t="s">
        <v>91</v>
      </c>
      <c r="E168" s="162">
        <v>240</v>
      </c>
      <c r="F168" s="164"/>
      <c r="G168" s="164">
        <v>0</v>
      </c>
      <c r="H168" s="164" t="e">
        <f>#REF!</f>
        <v>#REF!</v>
      </c>
    </row>
    <row r="169" spans="1:8" ht="63">
      <c r="A169" s="161" t="s">
        <v>418</v>
      </c>
      <c r="B169" s="162" t="s">
        <v>167</v>
      </c>
      <c r="C169" s="163"/>
      <c r="D169" s="163"/>
      <c r="E169" s="162"/>
      <c r="F169" s="164">
        <f>F170</f>
        <v>0</v>
      </c>
      <c r="G169" s="164">
        <v>0</v>
      </c>
      <c r="H169" s="164" t="e">
        <f>H170</f>
        <v>#REF!</v>
      </c>
    </row>
    <row r="170" spans="1:8" ht="94.5">
      <c r="A170" s="161" t="s">
        <v>17</v>
      </c>
      <c r="B170" s="162" t="s">
        <v>168</v>
      </c>
      <c r="C170" s="163"/>
      <c r="D170" s="163"/>
      <c r="E170" s="162"/>
      <c r="F170" s="164">
        <f>F171</f>
        <v>0</v>
      </c>
      <c r="G170" s="164">
        <v>0</v>
      </c>
      <c r="H170" s="164" t="e">
        <f>H171</f>
        <v>#REF!</v>
      </c>
    </row>
    <row r="171" spans="1:8" ht="53.25" customHeight="1">
      <c r="A171" s="161" t="s">
        <v>277</v>
      </c>
      <c r="B171" s="162" t="s">
        <v>168</v>
      </c>
      <c r="C171" s="163" t="s">
        <v>285</v>
      </c>
      <c r="D171" s="163" t="s">
        <v>91</v>
      </c>
      <c r="E171" s="162">
        <v>240</v>
      </c>
      <c r="F171" s="164"/>
      <c r="G171" s="164">
        <v>0</v>
      </c>
      <c r="H171" s="164" t="e">
        <f>#REF!</f>
        <v>#REF!</v>
      </c>
    </row>
    <row r="172" spans="1:8" ht="80.25" customHeight="1">
      <c r="A172" s="152" t="s">
        <v>401</v>
      </c>
      <c r="B172" s="139" t="s">
        <v>407</v>
      </c>
      <c r="C172" s="140"/>
      <c r="D172" s="140"/>
      <c r="E172" s="139"/>
      <c r="F172" s="143" t="e">
        <f>F173+F176+F179+F183+F189</f>
        <v>#REF!</v>
      </c>
      <c r="G172" s="143" t="e">
        <f>G173+G176+G179+G183+G189</f>
        <v>#REF!</v>
      </c>
      <c r="H172" s="143" t="e">
        <f>H173+H176+H179+H183+H189</f>
        <v>#REF!</v>
      </c>
    </row>
    <row r="173" spans="1:8" ht="53.25" customHeight="1">
      <c r="A173" s="8" t="s">
        <v>402</v>
      </c>
      <c r="B173" s="162" t="s">
        <v>408</v>
      </c>
      <c r="C173" s="141"/>
      <c r="D173" s="141"/>
      <c r="E173" s="138"/>
      <c r="F173" s="142" t="e">
        <f aca="true" t="shared" si="9" ref="F173:H174">F174</f>
        <v>#REF!</v>
      </c>
      <c r="G173" s="164" t="e">
        <f t="shared" si="9"/>
        <v>#REF!</v>
      </c>
      <c r="H173" s="164" t="e">
        <f t="shared" si="9"/>
        <v>#REF!</v>
      </c>
    </row>
    <row r="174" spans="1:8" ht="36" customHeight="1">
      <c r="A174" s="8" t="s">
        <v>76</v>
      </c>
      <c r="B174" s="162" t="s">
        <v>409</v>
      </c>
      <c r="C174" s="141"/>
      <c r="D174" s="141"/>
      <c r="E174" s="138"/>
      <c r="F174" s="142" t="e">
        <f t="shared" si="9"/>
        <v>#REF!</v>
      </c>
      <c r="G174" s="164" t="e">
        <f t="shared" si="9"/>
        <v>#REF!</v>
      </c>
      <c r="H174" s="164" t="e">
        <f t="shared" si="9"/>
        <v>#REF!</v>
      </c>
    </row>
    <row r="175" spans="1:8" ht="53.25" customHeight="1">
      <c r="A175" s="8" t="s">
        <v>277</v>
      </c>
      <c r="B175" s="162" t="s">
        <v>409</v>
      </c>
      <c r="C175" s="163" t="s">
        <v>92</v>
      </c>
      <c r="D175" s="163" t="s">
        <v>88</v>
      </c>
      <c r="E175" s="138">
        <v>240</v>
      </c>
      <c r="F175" s="142" t="e">
        <f>'приложение 4'!#REF!</f>
        <v>#REF!</v>
      </c>
      <c r="G175" s="164" t="e">
        <f>#REF!</f>
        <v>#REF!</v>
      </c>
      <c r="H175" s="164" t="e">
        <f>#REF!</f>
        <v>#REF!</v>
      </c>
    </row>
    <row r="176" spans="1:8" ht="53.25" customHeight="1">
      <c r="A176" s="8" t="s">
        <v>403</v>
      </c>
      <c r="B176" s="162" t="s">
        <v>410</v>
      </c>
      <c r="C176" s="141"/>
      <c r="D176" s="141"/>
      <c r="E176" s="138"/>
      <c r="F176" s="142">
        <f aca="true" t="shared" si="10" ref="F176:H177">F177</f>
        <v>451</v>
      </c>
      <c r="G176" s="164" t="e">
        <f t="shared" si="10"/>
        <v>#REF!</v>
      </c>
      <c r="H176" s="164" t="e">
        <f t="shared" si="10"/>
        <v>#REF!</v>
      </c>
    </row>
    <row r="177" spans="1:8" ht="53.25" customHeight="1">
      <c r="A177" s="8" t="s">
        <v>404</v>
      </c>
      <c r="B177" s="162" t="s">
        <v>411</v>
      </c>
      <c r="C177" s="141"/>
      <c r="D177" s="141"/>
      <c r="E177" s="138"/>
      <c r="F177" s="142">
        <f t="shared" si="10"/>
        <v>451</v>
      </c>
      <c r="G177" s="164" t="e">
        <f t="shared" si="10"/>
        <v>#REF!</v>
      </c>
      <c r="H177" s="164" t="e">
        <f t="shared" si="10"/>
        <v>#REF!</v>
      </c>
    </row>
    <row r="178" spans="1:8" ht="53.25" customHeight="1">
      <c r="A178" s="8" t="s">
        <v>277</v>
      </c>
      <c r="B178" s="162" t="s">
        <v>411</v>
      </c>
      <c r="C178" s="163" t="s">
        <v>92</v>
      </c>
      <c r="D178" s="163" t="s">
        <v>88</v>
      </c>
      <c r="E178" s="138">
        <v>240</v>
      </c>
      <c r="F178" s="142">
        <f>'приложение 4'!Q575</f>
        <v>451</v>
      </c>
      <c r="G178" s="164" t="e">
        <f>#REF!</f>
        <v>#REF!</v>
      </c>
      <c r="H178" s="164" t="e">
        <f>#REF!</f>
        <v>#REF!</v>
      </c>
    </row>
    <row r="179" spans="1:8" ht="53.25" customHeight="1">
      <c r="A179" s="8" t="s">
        <v>405</v>
      </c>
      <c r="B179" s="162" t="s">
        <v>412</v>
      </c>
      <c r="C179" s="141"/>
      <c r="D179" s="141"/>
      <c r="E179" s="138"/>
      <c r="F179" s="142">
        <f>F180</f>
        <v>0</v>
      </c>
      <c r="G179" s="164" t="e">
        <f>G180</f>
        <v>#REF!</v>
      </c>
      <c r="H179" s="164" t="e">
        <f>H180</f>
        <v>#REF!</v>
      </c>
    </row>
    <row r="180" spans="1:8" ht="53.25" customHeight="1">
      <c r="A180" s="8" t="s">
        <v>21</v>
      </c>
      <c r="B180" s="162" t="s">
        <v>413</v>
      </c>
      <c r="C180" s="141"/>
      <c r="D180" s="141"/>
      <c r="E180" s="138"/>
      <c r="F180" s="142">
        <f>F181+F182</f>
        <v>0</v>
      </c>
      <c r="G180" s="164" t="e">
        <f>G181+G182</f>
        <v>#REF!</v>
      </c>
      <c r="H180" s="164" t="e">
        <f>H181+H182</f>
        <v>#REF!</v>
      </c>
    </row>
    <row r="181" spans="1:8" ht="53.25" customHeight="1">
      <c r="A181" s="8" t="s">
        <v>277</v>
      </c>
      <c r="B181" s="162" t="s">
        <v>413</v>
      </c>
      <c r="C181" s="163" t="s">
        <v>92</v>
      </c>
      <c r="D181" s="163" t="s">
        <v>88</v>
      </c>
      <c r="E181" s="138">
        <v>240</v>
      </c>
      <c r="F181" s="142">
        <f>'приложение 4'!Q591</f>
        <v>0</v>
      </c>
      <c r="G181" s="164" t="e">
        <f>#REF!</f>
        <v>#REF!</v>
      </c>
      <c r="H181" s="164" t="e">
        <f>#REF!</f>
        <v>#REF!</v>
      </c>
    </row>
    <row r="182" spans="1:8" ht="24" customHeight="1">
      <c r="A182" s="2" t="s">
        <v>278</v>
      </c>
      <c r="B182" s="162" t="s">
        <v>413</v>
      </c>
      <c r="C182" s="163" t="s">
        <v>92</v>
      </c>
      <c r="D182" s="163" t="s">
        <v>88</v>
      </c>
      <c r="E182" s="138">
        <v>850</v>
      </c>
      <c r="F182" s="142">
        <f>'приложение 4'!Q592</f>
        <v>0</v>
      </c>
      <c r="G182" s="164" t="e">
        <f>#REF!</f>
        <v>#REF!</v>
      </c>
      <c r="H182" s="164" t="e">
        <f>#REF!</f>
        <v>#REF!</v>
      </c>
    </row>
    <row r="183" spans="1:8" ht="53.25" customHeight="1">
      <c r="A183" s="8" t="s">
        <v>406</v>
      </c>
      <c r="B183" s="162" t="s">
        <v>414</v>
      </c>
      <c r="C183" s="141"/>
      <c r="D183" s="141"/>
      <c r="E183" s="138"/>
      <c r="F183" s="142" t="e">
        <f>F184+#REF!+#REF!+#REF!</f>
        <v>#REF!</v>
      </c>
      <c r="G183" s="164" t="e">
        <f>G184</f>
        <v>#REF!</v>
      </c>
      <c r="H183" s="164" t="e">
        <f>H184</f>
        <v>#REF!</v>
      </c>
    </row>
    <row r="184" spans="1:8" ht="41.25" customHeight="1">
      <c r="A184" s="8" t="s">
        <v>64</v>
      </c>
      <c r="B184" s="162" t="s">
        <v>415</v>
      </c>
      <c r="C184" s="141"/>
      <c r="D184" s="141"/>
      <c r="E184" s="138"/>
      <c r="F184" s="142">
        <f>F185+F186+F187+F188</f>
        <v>14331.8</v>
      </c>
      <c r="G184" s="164" t="e">
        <f>G185+G186+G187+G188</f>
        <v>#REF!</v>
      </c>
      <c r="H184" s="164" t="e">
        <f>H185+H186+H187+H188</f>
        <v>#REF!</v>
      </c>
    </row>
    <row r="185" spans="1:8" ht="46.5" customHeight="1">
      <c r="A185" s="8" t="s">
        <v>210</v>
      </c>
      <c r="B185" s="162" t="s">
        <v>415</v>
      </c>
      <c r="C185" s="163" t="s">
        <v>92</v>
      </c>
      <c r="D185" s="163" t="s">
        <v>88</v>
      </c>
      <c r="E185" s="138">
        <v>120</v>
      </c>
      <c r="F185" s="142">
        <f>'приложение 4'!Q597</f>
        <v>7202.4</v>
      </c>
      <c r="G185" s="164" t="e">
        <f>#REF!</f>
        <v>#REF!</v>
      </c>
      <c r="H185" s="164" t="e">
        <f>#REF!</f>
        <v>#REF!</v>
      </c>
    </row>
    <row r="186" spans="1:8" ht="53.25" customHeight="1">
      <c r="A186" s="8" t="s">
        <v>277</v>
      </c>
      <c r="B186" s="162" t="s">
        <v>415</v>
      </c>
      <c r="C186" s="163" t="s">
        <v>92</v>
      </c>
      <c r="D186" s="163" t="s">
        <v>88</v>
      </c>
      <c r="E186" s="138">
        <v>240</v>
      </c>
      <c r="F186" s="142">
        <f>'приложение 4'!Q598</f>
        <v>6395.2</v>
      </c>
      <c r="G186" s="164" t="e">
        <f>#REF!</f>
        <v>#REF!</v>
      </c>
      <c r="H186" s="164" t="e">
        <f>#REF!</f>
        <v>#REF!</v>
      </c>
    </row>
    <row r="187" spans="1:8" ht="23.25" customHeight="1">
      <c r="A187" s="2" t="s">
        <v>284</v>
      </c>
      <c r="B187" s="162" t="s">
        <v>415</v>
      </c>
      <c r="C187" s="163" t="s">
        <v>92</v>
      </c>
      <c r="D187" s="163" t="s">
        <v>88</v>
      </c>
      <c r="E187" s="138">
        <v>830</v>
      </c>
      <c r="F187" s="142">
        <f>'приложение 4'!Q601</f>
        <v>367.1</v>
      </c>
      <c r="G187" s="164" t="e">
        <f>#REF!</f>
        <v>#REF!</v>
      </c>
      <c r="H187" s="164" t="e">
        <f>#REF!</f>
        <v>#REF!</v>
      </c>
    </row>
    <row r="188" spans="1:8" ht="22.5" customHeight="1">
      <c r="A188" s="2" t="s">
        <v>278</v>
      </c>
      <c r="B188" s="162" t="s">
        <v>415</v>
      </c>
      <c r="C188" s="163" t="s">
        <v>92</v>
      </c>
      <c r="D188" s="163" t="s">
        <v>88</v>
      </c>
      <c r="E188" s="138">
        <v>850</v>
      </c>
      <c r="F188" s="142">
        <f>'приложение 4'!Q602</f>
        <v>367.1</v>
      </c>
      <c r="G188" s="164" t="e">
        <f>#REF!</f>
        <v>#REF!</v>
      </c>
      <c r="H188" s="164" t="e">
        <f>#REF!</f>
        <v>#REF!</v>
      </c>
    </row>
    <row r="189" spans="1:8" ht="53.25" customHeight="1">
      <c r="A189" s="8" t="s">
        <v>400</v>
      </c>
      <c r="B189" s="162" t="s">
        <v>417</v>
      </c>
      <c r="C189" s="163"/>
      <c r="D189" s="163"/>
      <c r="E189" s="138"/>
      <c r="F189" s="142" t="e">
        <f>F190</f>
        <v>#REF!</v>
      </c>
      <c r="G189" s="164" t="e">
        <f>G190</f>
        <v>#REF!</v>
      </c>
      <c r="H189" s="164" t="e">
        <f>H190</f>
        <v>#REF!</v>
      </c>
    </row>
    <row r="190" spans="1:8" ht="53.25" customHeight="1">
      <c r="A190" s="8" t="s">
        <v>36</v>
      </c>
      <c r="B190" s="162" t="s">
        <v>416</v>
      </c>
      <c r="C190" s="163"/>
      <c r="D190" s="163"/>
      <c r="E190" s="138"/>
      <c r="F190" s="142" t="e">
        <f>F191+F192</f>
        <v>#REF!</v>
      </c>
      <c r="G190" s="164" t="e">
        <f>G191+G192</f>
        <v>#REF!</v>
      </c>
      <c r="H190" s="164" t="e">
        <f>H191+H192</f>
        <v>#REF!</v>
      </c>
    </row>
    <row r="191" spans="1:8" ht="53.25" customHeight="1">
      <c r="A191" s="8" t="s">
        <v>277</v>
      </c>
      <c r="B191" s="162" t="s">
        <v>416</v>
      </c>
      <c r="C191" s="163" t="s">
        <v>92</v>
      </c>
      <c r="D191" s="163" t="s">
        <v>88</v>
      </c>
      <c r="E191" s="138">
        <v>240</v>
      </c>
      <c r="F191" s="142" t="e">
        <f>'приложение 4'!#REF!</f>
        <v>#REF!</v>
      </c>
      <c r="G191" s="164" t="e">
        <f>#REF!</f>
        <v>#REF!</v>
      </c>
      <c r="H191" s="164" t="e">
        <f>#REF!</f>
        <v>#REF!</v>
      </c>
    </row>
    <row r="192" spans="1:8" ht="53.25" customHeight="1">
      <c r="A192" s="8" t="s">
        <v>282</v>
      </c>
      <c r="B192" s="162" t="s">
        <v>416</v>
      </c>
      <c r="C192" s="163" t="s">
        <v>92</v>
      </c>
      <c r="D192" s="163" t="s">
        <v>90</v>
      </c>
      <c r="E192" s="138">
        <v>320</v>
      </c>
      <c r="F192" s="142">
        <f>'приложение 4'!Q581</f>
        <v>0</v>
      </c>
      <c r="G192" s="164" t="e">
        <f>#REF!</f>
        <v>#REF!</v>
      </c>
      <c r="H192" s="164" t="e">
        <f>#REF!</f>
        <v>#REF!</v>
      </c>
    </row>
    <row r="193" spans="1:8" s="148" customFormat="1" ht="14.25">
      <c r="A193" s="395" t="s">
        <v>170</v>
      </c>
      <c r="B193" s="396"/>
      <c r="C193" s="396"/>
      <c r="D193" s="396"/>
      <c r="E193" s="397"/>
      <c r="F193" s="154" t="e">
        <f>#REF!+F17+#REF!+#REF!+#REF!+#REF!+#REF!+#REF!+#REF!+F34+F40+F67+F75+F97+F142+F155+F159+F122</f>
        <v>#REF!</v>
      </c>
      <c r="G193" s="154" t="e">
        <f>G17+G34+G40+G67+G75+G97+G142+G155+G159+G122+G30+G87+G172</f>
        <v>#REF!</v>
      </c>
      <c r="H193" s="154" t="e">
        <f>H17+H34+H40+H67+H75+H97+H142+H155+H159+H122+H30+H87+H172</f>
        <v>#REF!</v>
      </c>
    </row>
    <row r="194" ht="15">
      <c r="H194" s="174" t="s">
        <v>208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28125" style="178" customWidth="1"/>
    <col min="2" max="2" width="72.28125" style="178" customWidth="1"/>
    <col min="3" max="3" width="18.140625" style="178" customWidth="1"/>
    <col min="4" max="4" width="15.7109375" style="216" customWidth="1"/>
    <col min="5" max="5" width="13.421875" style="224" customWidth="1"/>
    <col min="6" max="6" width="11.57421875" style="178" customWidth="1"/>
    <col min="7" max="7" width="13.421875" style="178" customWidth="1"/>
    <col min="8" max="16384" width="9.140625" style="178" customWidth="1"/>
  </cols>
  <sheetData>
    <row r="1" spans="2:4" ht="18.75">
      <c r="B1" s="188"/>
      <c r="C1" s="189"/>
      <c r="D1" s="215"/>
    </row>
    <row r="2" spans="2:5" ht="18.75">
      <c r="B2" s="383" t="s">
        <v>495</v>
      </c>
      <c r="C2" s="383"/>
      <c r="D2" s="383"/>
      <c r="E2" s="405"/>
    </row>
    <row r="3" spans="2:5" ht="18.75">
      <c r="B3" s="383" t="s">
        <v>496</v>
      </c>
      <c r="C3" s="383"/>
      <c r="D3" s="383"/>
      <c r="E3" s="406"/>
    </row>
    <row r="4" spans="2:5" ht="17.25" customHeight="1">
      <c r="B4" s="190"/>
      <c r="C4" s="190"/>
      <c r="E4" s="225" t="s">
        <v>342</v>
      </c>
    </row>
    <row r="5" spans="2:7" ht="15.75" customHeight="1">
      <c r="B5" s="412" t="s">
        <v>195</v>
      </c>
      <c r="C5" s="414" t="s">
        <v>191</v>
      </c>
      <c r="D5" s="380" t="s">
        <v>497</v>
      </c>
      <c r="E5" s="407" t="s">
        <v>498</v>
      </c>
      <c r="F5" s="407" t="s">
        <v>499</v>
      </c>
      <c r="G5" s="410" t="s">
        <v>500</v>
      </c>
    </row>
    <row r="6" spans="2:7" ht="15.75" customHeight="1">
      <c r="B6" s="413"/>
      <c r="C6" s="414"/>
      <c r="D6" s="415"/>
      <c r="E6" s="408"/>
      <c r="F6" s="408"/>
      <c r="G6" s="411"/>
    </row>
    <row r="7" spans="2:7" s="195" customFormat="1" ht="31.5" hidden="1">
      <c r="B7" s="199" t="s">
        <v>467</v>
      </c>
      <c r="C7" s="200" t="s">
        <v>453</v>
      </c>
      <c r="D7" s="218">
        <f>D8</f>
        <v>356.4</v>
      </c>
      <c r="E7" s="187"/>
      <c r="F7" s="187"/>
      <c r="G7" s="187"/>
    </row>
    <row r="8" spans="2:7" s="190" customFormat="1" ht="15.75" hidden="1">
      <c r="B8" s="199" t="s">
        <v>241</v>
      </c>
      <c r="C8" s="201" t="s">
        <v>454</v>
      </c>
      <c r="D8" s="219">
        <f>D9</f>
        <v>356.4</v>
      </c>
      <c r="E8" s="175"/>
      <c r="F8" s="151"/>
      <c r="G8" s="151"/>
    </row>
    <row r="9" spans="2:7" s="190" customFormat="1" ht="31.5" hidden="1">
      <c r="B9" s="199" t="s">
        <v>466</v>
      </c>
      <c r="C9" s="201" t="s">
        <v>455</v>
      </c>
      <c r="D9" s="219">
        <f>D10</f>
        <v>356.4</v>
      </c>
      <c r="E9" s="175"/>
      <c r="F9" s="151"/>
      <c r="G9" s="151"/>
    </row>
    <row r="10" spans="2:7" s="190" customFormat="1" ht="31.5" hidden="1">
      <c r="B10" s="199" t="s">
        <v>277</v>
      </c>
      <c r="C10" s="201" t="s">
        <v>455</v>
      </c>
      <c r="D10" s="219">
        <f>'приложение 4'!Q219</f>
        <v>356.4</v>
      </c>
      <c r="E10" s="175"/>
      <c r="F10" s="151"/>
      <c r="G10" s="151"/>
    </row>
    <row r="11" spans="2:7" s="194" customFormat="1" ht="78" customHeight="1">
      <c r="B11" s="185" t="s">
        <v>323</v>
      </c>
      <c r="C11" s="175" t="s">
        <v>24</v>
      </c>
      <c r="D11" s="221">
        <f>'приложение 5'!F13</f>
        <v>673</v>
      </c>
      <c r="E11" s="221">
        <f>'приложение 5'!G13</f>
        <v>673</v>
      </c>
      <c r="F11" s="227">
        <v>511.1</v>
      </c>
      <c r="G11" s="226">
        <f>E11/D11*100</f>
        <v>100</v>
      </c>
    </row>
    <row r="12" spans="2:7" s="194" customFormat="1" ht="53.25" customHeight="1">
      <c r="B12" s="185" t="s">
        <v>452</v>
      </c>
      <c r="C12" s="175" t="s">
        <v>107</v>
      </c>
      <c r="D12" s="221">
        <f>'приложение 5'!F25</f>
        <v>3.3</v>
      </c>
      <c r="E12" s="221">
        <f>'приложение 5'!G25</f>
        <v>3.3</v>
      </c>
      <c r="F12" s="227">
        <v>550</v>
      </c>
      <c r="G12" s="226">
        <f aca="true" t="shared" si="0" ref="G12:G37">E12/D12*100</f>
        <v>100</v>
      </c>
    </row>
    <row r="13" spans="2:7" s="194" customFormat="1" ht="31.5">
      <c r="B13" s="1" t="s">
        <v>362</v>
      </c>
      <c r="C13" s="175" t="s">
        <v>202</v>
      </c>
      <c r="D13" s="221">
        <f>'приложение 5'!F57</f>
        <v>3.2</v>
      </c>
      <c r="E13" s="221">
        <f>'приложение 5'!G57</f>
        <v>3.2</v>
      </c>
      <c r="F13" s="227">
        <v>570</v>
      </c>
      <c r="G13" s="226">
        <f t="shared" si="0"/>
        <v>100</v>
      </c>
    </row>
    <row r="14" spans="2:7" s="194" customFormat="1" ht="31.5">
      <c r="B14" s="2" t="s">
        <v>266</v>
      </c>
      <c r="C14" s="175" t="s">
        <v>123</v>
      </c>
      <c r="D14" s="221">
        <f>'приложение 5'!F72</f>
        <v>18380.3</v>
      </c>
      <c r="E14" s="221">
        <f>'приложение 5'!G72</f>
        <v>11238.000000000002</v>
      </c>
      <c r="F14" s="227">
        <v>12498.4</v>
      </c>
      <c r="G14" s="226">
        <f t="shared" si="0"/>
        <v>61.14154828811282</v>
      </c>
    </row>
    <row r="15" spans="2:7" s="195" customFormat="1" ht="37.5" customHeight="1">
      <c r="B15" s="185" t="s">
        <v>379</v>
      </c>
      <c r="C15" s="175" t="s">
        <v>380</v>
      </c>
      <c r="D15" s="221">
        <f>'приложение 5'!F90</f>
        <v>6000</v>
      </c>
      <c r="E15" s="221">
        <f>'приложение 5'!G90</f>
        <v>6000</v>
      </c>
      <c r="F15" s="227">
        <v>97702.1</v>
      </c>
      <c r="G15" s="226">
        <f t="shared" si="0"/>
        <v>100</v>
      </c>
    </row>
    <row r="16" spans="2:7" s="194" customFormat="1" ht="47.25">
      <c r="B16" s="229" t="s">
        <v>84</v>
      </c>
      <c r="C16" s="175" t="s">
        <v>128</v>
      </c>
      <c r="D16" s="221">
        <f>'приложение 5'!F170</f>
        <v>0</v>
      </c>
      <c r="E16" s="221">
        <f>'приложение 5'!G170</f>
        <v>0</v>
      </c>
      <c r="F16" s="227">
        <v>10942.6</v>
      </c>
      <c r="G16" s="226" t="e">
        <f t="shared" si="0"/>
        <v>#DIV/0!</v>
      </c>
    </row>
    <row r="17" spans="2:7" s="194" customFormat="1" ht="40.5" customHeight="1">
      <c r="B17" s="13" t="s">
        <v>424</v>
      </c>
      <c r="C17" s="175" t="s">
        <v>425</v>
      </c>
      <c r="D17" s="221">
        <f>'приложение 5'!F194</f>
        <v>0</v>
      </c>
      <c r="E17" s="221">
        <f>'приложение 5'!G194</f>
        <v>0</v>
      </c>
      <c r="F17" s="227">
        <v>0</v>
      </c>
      <c r="G17" s="226" t="e">
        <f t="shared" si="0"/>
        <v>#DIV/0!</v>
      </c>
    </row>
    <row r="18" spans="2:7" ht="31.5" hidden="1">
      <c r="B18" s="13" t="s">
        <v>365</v>
      </c>
      <c r="C18" s="175" t="s">
        <v>203</v>
      </c>
      <c r="D18" s="221">
        <f>D19</f>
        <v>29.799999999999997</v>
      </c>
      <c r="E18" s="175"/>
      <c r="F18" s="227"/>
      <c r="G18" s="226">
        <f t="shared" si="0"/>
        <v>0</v>
      </c>
    </row>
    <row r="19" spans="2:7" ht="31.5" hidden="1">
      <c r="B19" s="13" t="s">
        <v>277</v>
      </c>
      <c r="C19" s="175" t="s">
        <v>203</v>
      </c>
      <c r="D19" s="221">
        <f>'приложение 4'!Q221</f>
        <v>29.799999999999997</v>
      </c>
      <c r="E19" s="175"/>
      <c r="F19" s="227"/>
      <c r="G19" s="226">
        <f t="shared" si="0"/>
        <v>0</v>
      </c>
    </row>
    <row r="20" spans="2:7" ht="47.25" hidden="1">
      <c r="B20" s="67" t="s">
        <v>387</v>
      </c>
      <c r="C20" s="175" t="s">
        <v>450</v>
      </c>
      <c r="D20" s="221">
        <f>D21</f>
        <v>257339</v>
      </c>
      <c r="E20" s="175"/>
      <c r="F20" s="227"/>
      <c r="G20" s="226">
        <f t="shared" si="0"/>
        <v>0</v>
      </c>
    </row>
    <row r="21" spans="2:7" ht="31.5" hidden="1">
      <c r="B21" s="13" t="s">
        <v>254</v>
      </c>
      <c r="C21" s="175" t="s">
        <v>451</v>
      </c>
      <c r="D21" s="221">
        <f>D22</f>
        <v>257339</v>
      </c>
      <c r="E21" s="175"/>
      <c r="F21" s="227"/>
      <c r="G21" s="226">
        <f t="shared" si="0"/>
        <v>0</v>
      </c>
    </row>
    <row r="22" spans="2:7" ht="31.5" hidden="1">
      <c r="B22" s="13" t="s">
        <v>277</v>
      </c>
      <c r="C22" s="175" t="s">
        <v>451</v>
      </c>
      <c r="D22" s="221">
        <f>'приложение 4'!Q224</f>
        <v>257339</v>
      </c>
      <c r="E22" s="175"/>
      <c r="F22" s="227"/>
      <c r="G22" s="226">
        <f t="shared" si="0"/>
        <v>0</v>
      </c>
    </row>
    <row r="23" spans="2:7" s="194" customFormat="1" ht="38.25" customHeight="1">
      <c r="B23" s="185" t="s">
        <v>271</v>
      </c>
      <c r="C23" s="175" t="s">
        <v>135</v>
      </c>
      <c r="D23" s="221">
        <f>'приложение 5'!F198</f>
        <v>8614.8</v>
      </c>
      <c r="E23" s="221">
        <f>'приложение 5'!G198</f>
        <v>8575.9</v>
      </c>
      <c r="F23" s="227">
        <v>69482.8</v>
      </c>
      <c r="G23" s="226">
        <f t="shared" si="0"/>
        <v>99.54845150206621</v>
      </c>
    </row>
    <row r="24" spans="2:7" s="194" customFormat="1" ht="36.75" customHeight="1">
      <c r="B24" s="2" t="s">
        <v>256</v>
      </c>
      <c r="C24" s="175" t="s">
        <v>171</v>
      </c>
      <c r="D24" s="221">
        <f>'приложение 5'!F248</f>
        <v>25</v>
      </c>
      <c r="E24" s="221">
        <f>'приложение 5'!G248</f>
        <v>25</v>
      </c>
      <c r="F24" s="227">
        <v>41284.1</v>
      </c>
      <c r="G24" s="226">
        <f t="shared" si="0"/>
        <v>100</v>
      </c>
    </row>
    <row r="25" spans="2:7" s="194" customFormat="1" ht="47.25">
      <c r="B25" s="2" t="s">
        <v>367</v>
      </c>
      <c r="C25" s="175" t="s">
        <v>204</v>
      </c>
      <c r="D25" s="221">
        <f>'приложение 5'!F281</f>
        <v>539.9</v>
      </c>
      <c r="E25" s="221">
        <f>'приложение 5'!G281</f>
        <v>539.9</v>
      </c>
      <c r="F25" s="227">
        <v>76.7</v>
      </c>
      <c r="G25" s="226">
        <f t="shared" si="0"/>
        <v>100</v>
      </c>
    </row>
    <row r="26" spans="2:7" s="194" customFormat="1" ht="21.75" customHeight="1">
      <c r="B26" s="185" t="s">
        <v>258</v>
      </c>
      <c r="C26" s="175" t="s">
        <v>148</v>
      </c>
      <c r="D26" s="221">
        <f>'приложение 5'!F309</f>
        <v>45.9</v>
      </c>
      <c r="E26" s="221">
        <f>'приложение 5'!G309</f>
        <v>44.9</v>
      </c>
      <c r="F26" s="227">
        <v>574.8</v>
      </c>
      <c r="G26" s="226">
        <f t="shared" si="0"/>
        <v>97.82135076252723</v>
      </c>
    </row>
    <row r="27" spans="2:7" s="194" customFormat="1" ht="53.25" customHeight="1">
      <c r="B27" s="107" t="s">
        <v>368</v>
      </c>
      <c r="C27" s="175" t="s">
        <v>205</v>
      </c>
      <c r="D27" s="221">
        <f>'приложение 5'!F327</f>
        <v>380.59999999999997</v>
      </c>
      <c r="E27" s="221">
        <f>'приложение 5'!G327</f>
        <v>363.5</v>
      </c>
      <c r="F27" s="227">
        <v>130</v>
      </c>
      <c r="G27" s="226">
        <f t="shared" si="0"/>
        <v>95.50709406200737</v>
      </c>
    </row>
    <row r="28" spans="2:7" s="194" customFormat="1" ht="37.5" customHeight="1">
      <c r="B28" s="2" t="s">
        <v>366</v>
      </c>
      <c r="C28" s="175" t="s">
        <v>206</v>
      </c>
      <c r="D28" s="221">
        <f>'приложение 5'!F335</f>
        <v>0</v>
      </c>
      <c r="E28" s="221">
        <f>'приложение 5'!G335</f>
        <v>0</v>
      </c>
      <c r="F28" s="227">
        <v>37.2</v>
      </c>
      <c r="G28" s="226" t="e">
        <f t="shared" si="0"/>
        <v>#DIV/0!</v>
      </c>
    </row>
    <row r="29" spans="2:7" s="194" customFormat="1" ht="48" customHeight="1">
      <c r="B29" s="185" t="s">
        <v>316</v>
      </c>
      <c r="C29" s="175" t="s">
        <v>317</v>
      </c>
      <c r="D29" s="221">
        <f>'приложение 5'!F345</f>
        <v>0</v>
      </c>
      <c r="E29" s="221">
        <f>'приложение 5'!G345</f>
        <v>0</v>
      </c>
      <c r="F29" s="227">
        <v>25.4</v>
      </c>
      <c r="G29" s="226" t="e">
        <f t="shared" si="0"/>
        <v>#DIV/0!</v>
      </c>
    </row>
    <row r="30" spans="2:7" s="194" customFormat="1" ht="53.25" customHeight="1">
      <c r="B30" s="2" t="s">
        <v>313</v>
      </c>
      <c r="C30" s="175" t="s">
        <v>160</v>
      </c>
      <c r="D30" s="221">
        <f>'приложение 5'!F349</f>
        <v>16799.300000000003</v>
      </c>
      <c r="E30" s="221">
        <f>'приложение 5'!G349</f>
        <v>15390.099999999999</v>
      </c>
      <c r="F30" s="227">
        <v>1848.9</v>
      </c>
      <c r="G30" s="226">
        <f t="shared" si="0"/>
        <v>91.6115552433732</v>
      </c>
    </row>
    <row r="31" spans="2:7" ht="31.5" hidden="1">
      <c r="B31" s="67" t="s">
        <v>469</v>
      </c>
      <c r="C31" s="175" t="s">
        <v>471</v>
      </c>
      <c r="D31" s="221">
        <f>D32</f>
        <v>1040.6</v>
      </c>
      <c r="E31" s="175"/>
      <c r="F31" s="227"/>
      <c r="G31" s="226">
        <f t="shared" si="0"/>
        <v>0</v>
      </c>
    </row>
    <row r="32" spans="2:7" ht="15.75" hidden="1">
      <c r="B32" s="67" t="s">
        <v>470</v>
      </c>
      <c r="C32" s="175" t="s">
        <v>472</v>
      </c>
      <c r="D32" s="221">
        <f>D33</f>
        <v>1040.6</v>
      </c>
      <c r="E32" s="175"/>
      <c r="F32" s="227"/>
      <c r="G32" s="226">
        <f t="shared" si="0"/>
        <v>0</v>
      </c>
    </row>
    <row r="33" spans="2:7" ht="31.5" hidden="1">
      <c r="B33" s="13" t="s">
        <v>277</v>
      </c>
      <c r="C33" s="175" t="s">
        <v>472</v>
      </c>
      <c r="D33" s="221">
        <f>'приложение 4'!Q240</f>
        <v>1040.6</v>
      </c>
      <c r="E33" s="175"/>
      <c r="F33" s="227"/>
      <c r="G33" s="226">
        <f t="shared" si="0"/>
        <v>0</v>
      </c>
    </row>
    <row r="34" spans="2:7" ht="47.25" customHeight="1">
      <c r="B34" s="2" t="s">
        <v>468</v>
      </c>
      <c r="C34" s="175" t="s">
        <v>407</v>
      </c>
      <c r="D34" s="221">
        <f>'приложение 5'!F375</f>
        <v>30.2</v>
      </c>
      <c r="E34" s="221">
        <f>'приложение 5'!G375</f>
        <v>19.2</v>
      </c>
      <c r="F34" s="227">
        <v>4839.6</v>
      </c>
      <c r="G34" s="226">
        <f t="shared" si="0"/>
        <v>63.576158940397356</v>
      </c>
    </row>
    <row r="35" spans="2:7" s="194" customFormat="1" ht="49.5" customHeight="1">
      <c r="B35" s="2" t="s">
        <v>33</v>
      </c>
      <c r="C35" s="175" t="s">
        <v>80</v>
      </c>
      <c r="D35" s="221">
        <f>'приложение 5'!F408</f>
        <v>511.9</v>
      </c>
      <c r="E35" s="221">
        <f>'приложение 5'!G408</f>
        <v>511.9</v>
      </c>
      <c r="F35" s="227">
        <v>69632.7</v>
      </c>
      <c r="G35" s="226">
        <f t="shared" si="0"/>
        <v>100</v>
      </c>
    </row>
    <row r="36" spans="2:7" ht="47.25">
      <c r="B36" s="13" t="s">
        <v>477</v>
      </c>
      <c r="C36" s="175" t="s">
        <v>478</v>
      </c>
      <c r="D36" s="221">
        <f>'приложение 5'!F510</f>
        <v>1492.4</v>
      </c>
      <c r="E36" s="221">
        <f>'приложение 5'!G510</f>
        <v>1492.4</v>
      </c>
      <c r="F36" s="227">
        <v>45</v>
      </c>
      <c r="G36" s="226">
        <f t="shared" si="0"/>
        <v>100</v>
      </c>
    </row>
    <row r="37" spans="2:7" s="194" customFormat="1" ht="15.75">
      <c r="B37" s="409" t="s">
        <v>170</v>
      </c>
      <c r="C37" s="409"/>
      <c r="D37" s="220">
        <f>D11+D12+D13+D14+D15+D16+D17+D23+D24+D25+D26+D27+D28+D29+D30+D34+D35+D7+D36</f>
        <v>53856.200000000004</v>
      </c>
      <c r="E37" s="220">
        <f>E11+E12+E13+E14+E15+E16+E17+E23+E24+E25+E26+E27+E28+E29+E30+E34+E35+E7+E36</f>
        <v>44880.3</v>
      </c>
      <c r="F37" s="220">
        <f>F11+F12+F13+F14+F15+F16+F17+F23+F24+F25+F26+F27+F28+F29+F30+F34+F35+F7+F36</f>
        <v>310751.4</v>
      </c>
      <c r="G37" s="228">
        <f t="shared" si="0"/>
        <v>83.33358090619093</v>
      </c>
    </row>
    <row r="38" ht="15.75">
      <c r="D38" s="223" t="s">
        <v>241</v>
      </c>
    </row>
  </sheetData>
  <sheetProtection/>
  <mergeCells count="9">
    <mergeCell ref="B2:E2"/>
    <mergeCell ref="B3:E3"/>
    <mergeCell ref="E5:E6"/>
    <mergeCell ref="B37:C37"/>
    <mergeCell ref="F5:F6"/>
    <mergeCell ref="G5:G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2024-03-28T13:04:09Z</cp:lastPrinted>
  <dcterms:created xsi:type="dcterms:W3CDTF">2012-10-30T08:30:04Z</dcterms:created>
  <dcterms:modified xsi:type="dcterms:W3CDTF">2024-03-28T13:04:11Z</dcterms:modified>
  <cp:category/>
  <cp:version/>
  <cp:contentType/>
  <cp:contentStatus/>
</cp:coreProperties>
</file>