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0" windowWidth="15210" windowHeight="7740" tabRatio="641" activeTab="3"/>
  </bookViews>
  <sheets>
    <sheet name="приложение 3" sheetId="1" r:id="rId1"/>
    <sheet name="приложение 4" sheetId="2" r:id="rId2"/>
    <sheet name="приложение 5" sheetId="3" r:id="rId3"/>
    <sheet name="приложение 6" sheetId="4" r:id="rId4"/>
    <sheet name="Приложение 13" sheetId="5" state="hidden" r:id="rId5"/>
  </sheets>
  <definedNames>
    <definedName name="_xlnm._FilterDatabase" localSheetId="1" hidden="1">'приложение 4'!$Q$15:$S$891</definedName>
    <definedName name="_xlnm._FilterDatabase" localSheetId="2" hidden="1">'приложение 5'!$A$1:$S$1098</definedName>
    <definedName name="_xlnm.Print_Titles" localSheetId="0">'приложение 3'!$14:$16</definedName>
    <definedName name="_xlnm.Print_Titles" localSheetId="2">'приложение 5'!$12:$14</definedName>
    <definedName name="_xlnm.Print_Area" localSheetId="0">'приложение 3'!$A$1:$F$73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<sst xmlns="http://schemas.openxmlformats.org/spreadsheetml/2006/main" count="11786" uniqueCount="1120">
  <si>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</si>
  <si>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</si>
  <si>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</si>
  <si>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Основное мероприятие «Содержание сети автомобильных дорог районного значения»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</si>
  <si>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</si>
  <si>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</si>
  <si>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</si>
  <si>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</si>
  <si>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</si>
  <si>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</si>
  <si>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90020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</si>
  <si>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</si>
  <si>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</si>
  <si>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</si>
  <si>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15590</t>
  </si>
  <si>
    <t>L4970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</si>
  <si>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</si>
  <si>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0 05 S1360</t>
  </si>
  <si>
    <t>04 0 03 20300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</si>
  <si>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</si>
  <si>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</si>
  <si>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</si>
  <si>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26</t>
  </si>
  <si>
    <t>26 0 00 00000</t>
  </si>
  <si>
    <t>2021 год</t>
  </si>
  <si>
    <t>Основное мероприятие "Создание условий для возрождения, сохранения и развития традиционных народных промыслов и ремесел"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</si>
  <si>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</si>
  <si>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</si>
  <si>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20440</t>
  </si>
  <si>
    <t>Реализация мероприятий, направленных на обеспечение безопасности дорожного движения</t>
  </si>
  <si>
    <t>09 0 01 20440</t>
  </si>
  <si>
    <t>Проведение аварийно-спасательных мероприятий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</si>
  <si>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</si>
  <si>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Обеспечение деятельности органов местного самоуправления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</si>
  <si>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</si>
  <si>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</si>
  <si>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</si>
  <si>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>83010</t>
  </si>
  <si>
    <t>83020</t>
  </si>
  <si>
    <t>Расходы на выплату ЕДК за коммунальные услуги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</si>
  <si>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</si>
  <si>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Основное мероприятие "Мероприятия по предотвращению загрязнения природной среды отходами производства и потребления"</t>
  </si>
  <si>
    <t>16590</t>
  </si>
  <si>
    <t>Учреждения физической культуры и спорта</t>
  </si>
  <si>
    <t>Основное мероприятие «Развитие детско-юношеского спорта»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</si>
  <si>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</si>
  <si>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</si>
  <si>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</si>
  <si>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</si>
  <si>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</si>
  <si>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</si>
  <si>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</si>
  <si>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</si>
  <si>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</si>
  <si>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</si>
  <si>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</si>
  <si>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Школы - детские сады, школы начальные, неполные средние и средние</t>
  </si>
  <si>
    <t>Учреждения по внешкольной работе с детьми</t>
  </si>
  <si>
    <t>Дорожное хозяйство (дорожные фонды)</t>
  </si>
  <si>
    <t>Молодежная политика</t>
  </si>
  <si>
    <t>Расходы на обеспечение функций муниципальных органов</t>
  </si>
  <si>
    <t>70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</si>
  <si>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</si>
  <si>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</si>
  <si>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</si>
  <si>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</si>
  <si>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</si>
  <si>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>S1060</t>
  </si>
  <si>
    <t>Транспорт</t>
  </si>
  <si>
    <t>Резервные фонды местных администраций</t>
  </si>
  <si>
    <t>02000</t>
  </si>
  <si>
    <t>09 0 00 00000</t>
  </si>
  <si>
    <t>09 0 01 00000</t>
  </si>
  <si>
    <t xml:space="preserve">к решению Представительного </t>
  </si>
  <si>
    <t>Выполнение других обязательств государства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</si>
  <si>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</si>
  <si>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</si>
  <si>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Дошкольное образование</t>
  </si>
  <si>
    <t>Охрана семьи и детства</t>
  </si>
  <si>
    <t>0104</t>
  </si>
  <si>
    <t>Социальное обслуживание населения</t>
  </si>
  <si>
    <t>Пенсионное обеспечение</t>
  </si>
  <si>
    <t>Культура</t>
  </si>
  <si>
    <t>Муниципальная программа развития туризма в Белозерском муниципальном районе  «Белозерск – Былинный город» на 2021-2025 годы</t>
  </si>
  <si>
    <t>Подпрограмма "Обеспечение сбалансированности районного бюджета и повышение эффективности бюджетных расходов на 2020-2021 год"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</si>
  <si>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</si>
  <si>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РзПр</t>
  </si>
  <si>
    <t>0113</t>
  </si>
  <si>
    <t xml:space="preserve">         РАСПРЕДЕЛЕНИЕ</t>
  </si>
  <si>
    <t>1003</t>
  </si>
  <si>
    <t>0409</t>
  </si>
  <si>
    <t>664</t>
  </si>
  <si>
    <t>0701</t>
  </si>
  <si>
    <t>0709</t>
  </si>
  <si>
    <t>1004</t>
  </si>
  <si>
    <t>0702</t>
  </si>
  <si>
    <t>0703</t>
  </si>
  <si>
    <t>0412</t>
  </si>
  <si>
    <t>0502</t>
  </si>
  <si>
    <t>0605</t>
  </si>
  <si>
    <t>0106</t>
  </si>
  <si>
    <t>661</t>
  </si>
  <si>
    <t>1401</t>
  </si>
  <si>
    <t>1402</t>
  </si>
  <si>
    <t>0314</t>
  </si>
  <si>
    <t>0501</t>
  </si>
  <si>
    <t>27 0 00 00000</t>
  </si>
  <si>
    <t>27 0 01 00000</t>
  </si>
  <si>
    <t>27 0 01 14590</t>
  </si>
  <si>
    <t>27 0 02 00000</t>
  </si>
  <si>
    <t>27 0 02 12590</t>
  </si>
  <si>
    <t>27 0 02 13590</t>
  </si>
  <si>
    <t>27 0 03 00000</t>
  </si>
  <si>
    <t>27 0 03 12590</t>
  </si>
  <si>
    <t>27 0 03 13590</t>
  </si>
  <si>
    <t>27 0 04 00000</t>
  </si>
  <si>
    <t>27 0 04 12590</t>
  </si>
  <si>
    <t>27 0 04 13590</t>
  </si>
  <si>
    <t>27 0 04 14590</t>
  </si>
  <si>
    <t>27 0 05 00000</t>
  </si>
  <si>
    <t>27 0 05 13590</t>
  </si>
  <si>
    <t>27 0 05 14590</t>
  </si>
  <si>
    <t>29 0 00 00000</t>
  </si>
  <si>
    <t>29 0 02 00000</t>
  </si>
  <si>
    <t>29 0 02 16590</t>
  </si>
  <si>
    <t>1101</t>
  </si>
  <si>
    <t>29 0 P5 S2280</t>
  </si>
  <si>
    <t>31 0 00 00000</t>
  </si>
  <si>
    <t>31 0 01 00000</t>
  </si>
  <si>
    <t>31 0 01 01590</t>
  </si>
  <si>
    <t>31 0 05 00000</t>
  </si>
  <si>
    <t>31 0 05 01590</t>
  </si>
  <si>
    <t>31 0 07 00000</t>
  </si>
  <si>
    <t>31 0 07 01590</t>
  </si>
  <si>
    <t>33 0 00 00000</t>
  </si>
  <si>
    <t>33 1 00 00000</t>
  </si>
  <si>
    <t>33 1 01 00000</t>
  </si>
  <si>
    <t>33 1 01 00190</t>
  </si>
  <si>
    <t>33 2 00 00000</t>
  </si>
  <si>
    <t>33 2 01 00000</t>
  </si>
  <si>
    <t>33 2 01 72220</t>
  </si>
  <si>
    <t>33 2 02 00000</t>
  </si>
  <si>
    <t>33 4 00 00000</t>
  </si>
  <si>
    <t>33 4 01 00000</t>
  </si>
  <si>
    <t>33 4 01 00190</t>
  </si>
  <si>
    <t>33 4 02 00000</t>
  </si>
  <si>
    <t>33 4 02 00590</t>
  </si>
  <si>
    <t>36 0 00 00000</t>
  </si>
  <si>
    <t>36 0 01 00000</t>
  </si>
  <si>
    <t>36 0 01 01590</t>
  </si>
  <si>
    <t>0707</t>
  </si>
  <si>
    <t>36 0 02 00000</t>
  </si>
  <si>
    <t>36 0 02 01590</t>
  </si>
  <si>
    <t>36 0 03 00000</t>
  </si>
  <si>
    <t>36 0 03 01590</t>
  </si>
  <si>
    <t>36 0 04 00000</t>
  </si>
  <si>
    <t>36 0 04 L4970</t>
  </si>
  <si>
    <t>46 0 F2 55552</t>
  </si>
  <si>
    <t>0503</t>
  </si>
  <si>
    <t>47 0 00 00000</t>
  </si>
  <si>
    <t>47 0 01 00000</t>
  </si>
  <si>
    <t>47 0 01 S1350</t>
  </si>
  <si>
    <t>47 0 03 00000</t>
  </si>
  <si>
    <t>47 0 03 20300</t>
  </si>
  <si>
    <t>47 0 04 00000</t>
  </si>
  <si>
    <t>47 0 04 20300</t>
  </si>
  <si>
    <t>47 0 05 00000</t>
  </si>
  <si>
    <t>47 0 05 S1360</t>
  </si>
  <si>
    <t>Основное мероприятие «Организационное и информационно-методическое обеспечение отдыха и оздоровления детей в каникулярное время»</t>
  </si>
  <si>
    <t>ИТОГО:</t>
  </si>
  <si>
    <t>34 0 00 00000</t>
  </si>
  <si>
    <t>34 0 01 00000</t>
  </si>
  <si>
    <t>34 0 01 03590</t>
  </si>
  <si>
    <t>0801</t>
  </si>
  <si>
    <t>34 0 01 74090</t>
  </si>
  <si>
    <t>34 0 01 S1900</t>
  </si>
  <si>
    <t>34 0 02 00000</t>
  </si>
  <si>
    <t>34 0 02 01590</t>
  </si>
  <si>
    <t>34 0 04 00000</t>
  </si>
  <si>
    <t>34 0 04 15590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</si>
  <si>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</t>
  </si>
  <si>
    <t>на плановый период 2021 и 2022 годов</t>
  </si>
  <si>
    <t>6</t>
  </si>
  <si>
    <t>7</t>
  </si>
  <si>
    <t>к решению Представительного Собрания района</t>
  </si>
  <si>
    <t>"О районном бюджете на  2020 год и плановый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</si>
  <si>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</si>
  <si>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</si>
  <si>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</si>
  <si>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</si>
  <si>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</si>
  <si>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</si>
  <si>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</si>
  <si>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</si>
  <si>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</si>
  <si>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</si>
  <si>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</si>
  <si>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</si>
  <si>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</si>
  <si>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</si>
  <si>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</si>
  <si>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Бюджетные инвестиции</t>
  </si>
  <si>
    <t>"</t>
  </si>
  <si>
    <t>Всего расходов</t>
  </si>
  <si>
    <t>Расходы на выплаты персоналу государственных (муниципальных) органов</t>
  </si>
  <si>
    <t/>
  </si>
  <si>
    <t>Другие общегосударственные вопросы</t>
  </si>
  <si>
    <t>Другие вопросы в области социальной политики</t>
  </si>
  <si>
    <t>Другие вопросы в области образования</t>
  </si>
  <si>
    <t>Общее образование</t>
  </si>
  <si>
    <t>Другие вопросы в области национальной экономики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</si>
  <si>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</si>
  <si>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</si>
  <si>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Резервные средства</t>
  </si>
  <si>
    <t>Другие вопросы в области национальной безопасности и правоохранительной деятельности</t>
  </si>
  <si>
    <t>09</t>
  </si>
  <si>
    <t>2</t>
  </si>
  <si>
    <t>4</t>
  </si>
  <si>
    <t>14</t>
  </si>
  <si>
    <t>08</t>
  </si>
  <si>
    <t>0</t>
  </si>
  <si>
    <t>01</t>
  </si>
  <si>
    <t>1</t>
  </si>
  <si>
    <t>05</t>
  </si>
  <si>
    <t>Санитарно-эпидемиологическое благополучие</t>
  </si>
  <si>
    <t>07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</si>
  <si>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</si>
  <si>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представительных  органов местного самоуправления </t>
  </si>
  <si>
    <t>92</t>
  </si>
  <si>
    <t>00</t>
  </si>
  <si>
    <t>10</t>
  </si>
  <si>
    <t>5</t>
  </si>
  <si>
    <t>04</t>
  </si>
  <si>
    <t>Раздел</t>
  </si>
  <si>
    <t>Под раздел</t>
  </si>
  <si>
    <t>ОБЩЕГОСУДАРСТВЕННЫЕ ВОПРОСЫ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</si>
  <si>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</si>
  <si>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</si>
  <si>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</si>
  <si>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</si>
  <si>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11</t>
  </si>
  <si>
    <t>13</t>
  </si>
  <si>
    <t>НАЦИОНАЛЬНАЯ ЭКОНОМИКА</t>
  </si>
  <si>
    <t>12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</si>
  <si>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</si>
  <si>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</si>
  <si>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</si>
  <si>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</si>
  <si>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</si>
  <si>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 xml:space="preserve">Социальное обеспечение населения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</si>
  <si>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</si>
  <si>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</si>
  <si>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</si>
  <si>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</si>
  <si>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ОБСЛУЖИВАНИЕ ГОСУДАРСТВЕННОГО И МУНИЦИПАЛЬНОГО ДОЛГА </t>
  </si>
  <si>
    <t>В С Е Г О  Р А С Х О Д О В</t>
  </si>
  <si>
    <t>НАЦИОНАЛЬНАЯ БЕЗОПАСНОСТЬ И ПРАВООХРАНИТЕЛЬНАЯ ДЕЯТЕЛЬНОСТЬ</t>
  </si>
  <si>
    <t>Стипендии</t>
  </si>
  <si>
    <t xml:space="preserve">КУЛЬТУРА, КИНЕМАТОГРАФИЯ </t>
  </si>
  <si>
    <t>Судебная система</t>
  </si>
  <si>
    <t>Жилищное хозяйство</t>
  </si>
  <si>
    <t>00000</t>
  </si>
  <si>
    <t xml:space="preserve"> </t>
  </si>
  <si>
    <t>Другие вопросы в области жилищно-коммунального хозяйства</t>
  </si>
  <si>
    <t>00190</t>
  </si>
  <si>
    <t>72250</t>
  </si>
  <si>
    <t>72230</t>
  </si>
  <si>
    <t>90010</t>
  </si>
  <si>
    <t>Подпрограмма «Профилактика преступлений и иных правонарушений»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</si>
  <si>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</si>
  <si>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</si>
  <si>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</si>
  <si>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"Обеспечение деятельности МУК "Центр ремесел и туризма"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</si>
  <si>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</si>
  <si>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«Ремонт автомобильных дорог»</t>
  </si>
  <si>
    <t>Строительство и реконструкция (модернизация) объектов питьевого водоснабжения</t>
  </si>
  <si>
    <t>S1760</t>
  </si>
  <si>
    <t>Муниципальная  программа «Развитие культуры Белозерского муниципального района» на 2020 – 2025 годы</t>
  </si>
  <si>
    <t>Основное мероприятие «Обеспечение развития системы дополнительного образования в сфере культуры и искусства, поиска, выявления, поддержки и развития одаренных детей»</t>
  </si>
  <si>
    <t>Муниципальная программа «Молодежь Белозерья» на 2020-2025 годы</t>
  </si>
  <si>
    <t>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</si>
  <si>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молодежи. Профилактика негативных явлений в молодежной среде, пропаганда здорового образа жизни"</t>
  </si>
  <si>
    <t>Основное мероприятие "Повышение компетенций молодежи района путем участия в областных молодежных форумах и мероприятиях"</t>
  </si>
  <si>
    <t>Обеспечение развития и укрепления материально-технической базы сельских библиотек</t>
  </si>
  <si>
    <t>Основное мероприятие «Обеспечение сохранности, развитие и популяризация культурного наследия Белозерья, поддержка народного творчества»</t>
  </si>
  <si>
    <t>Основное мероприятие "Оказание поддержки молодым семьям района"</t>
  </si>
  <si>
    <t>Реализация мероприятий по обеспечению жильем молодых семей</t>
  </si>
  <si>
    <t>Муниципальная программа «Развитие физической культуры и спорта Белозерского муниципального района» на 2020– 2025 годы</t>
  </si>
  <si>
    <t>Реализация мероприятий по оснащению объектов спортивной инфраструктуры спортивно-технологическим оборудованием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</si>
  <si>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t>
  </si>
  <si>
    <t>Муниципальная  программа «Организация отдыха и занятости детей Белозерского муниципального района в каникулярное время на 2020-2025 годы»</t>
  </si>
  <si>
    <t>E1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</si>
  <si>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</t>
  </si>
  <si>
    <t>Муниципальная программа «Управление муниципальными финансами Белозерского муниципального района на 2021-2025 годы»</t>
  </si>
  <si>
    <t>Подпрограмма "Поддержание устойчивого исполнения местных бюджетов и повышение качества управления муниципальными финансами на 2021-2025 годы"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</si>
  <si>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2021-2025 годы"</t>
  </si>
  <si>
    <t>Основное мероприятие "Обеспечение деятельности подведомственного учреждения МКУ "Централизованная бухгалтерия"</t>
  </si>
  <si>
    <t>Внедрение и (или) эксплуатация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</si>
  <si>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</si>
  <si>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</si>
  <si>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</si>
  <si>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</si>
  <si>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</si>
  <si>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</si>
  <si>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</si>
  <si>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</si>
  <si>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Исполнение судебных актов</t>
  </si>
  <si>
    <t>027</t>
  </si>
  <si>
    <t>663</t>
  </si>
  <si>
    <t>04 0 00 00000</t>
  </si>
  <si>
    <t>04 0 03 00000</t>
  </si>
  <si>
    <t>04 0 04 00000</t>
  </si>
  <si>
    <t>Коммунальное хозяйство</t>
  </si>
  <si>
    <t>Осуществление дорожной деятельности в отношении автомобильных дорог общего пользования местного значения</t>
  </si>
  <si>
    <t>04 0 01 00000</t>
  </si>
  <si>
    <t>04 0 01 S1350</t>
  </si>
  <si>
    <t>S2270</t>
  </si>
  <si>
    <t>Основное мероприятие "Реализация регионального проекта "Цифровая образовательная среда"</t>
  </si>
  <si>
    <t>Субсидии автономным учреждениям</t>
  </si>
  <si>
    <t>04 0 05 00000</t>
  </si>
  <si>
    <t>Мероприятия в сфере дорожного хозяйства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</si>
  <si>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</si>
  <si>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</si>
  <si>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</si>
  <si>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</si>
  <si>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</si>
  <si>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>средств на реализацию муниципальных программ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</si>
  <si>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</si>
  <si>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Основное мероприятие «Паспортизация автомобильных дорог, на которые отсутствует регистрация права»</t>
  </si>
  <si>
    <t>04 0 04 20300</t>
  </si>
  <si>
    <t xml:space="preserve"> Расходы на выплаты персоналу казенных учреждений</t>
  </si>
  <si>
    <t>72300</t>
  </si>
  <si>
    <t>Основное мероприятие "Развитие дополнительного образования детей, системы воспитания"</t>
  </si>
  <si>
    <t>Основное мероприятие "Содержание автомобильных дорог общего пользования муниципального значения"</t>
  </si>
  <si>
    <t>Итого расходов</t>
  </si>
  <si>
    <t>Благоустройство общественных территорий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</si>
  <si>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</si>
  <si>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46 0 00 00000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</si>
  <si>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</si>
  <si>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областного бюджета</t>
  </si>
  <si>
    <t>Иные межбюджетные трансферты на комплектование книжных фондов муниципальных библиотек</t>
  </si>
  <si>
    <t>72310</t>
  </si>
  <si>
    <t>Единая субвенция бюджетам муниципальных образований области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</si>
  <si>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</si>
  <si>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F3</t>
  </si>
  <si>
    <t>F2</t>
  </si>
  <si>
    <t>55552</t>
  </si>
  <si>
    <t>67483</t>
  </si>
  <si>
    <t>67484</t>
  </si>
  <si>
    <t>26 0 F3 67484</t>
  </si>
  <si>
    <t>6748S</t>
  </si>
  <si>
    <t>Обеспечение мероприятий по переселению граждан из аварийного жилищного фонда за счет средств районного бюджета</t>
  </si>
  <si>
    <t>26 0 F3 6748S</t>
  </si>
  <si>
    <t>Приложение 10</t>
  </si>
  <si>
    <t>L3041</t>
  </si>
  <si>
    <t>2022 год</t>
  </si>
  <si>
    <t>период 2021 и 2022 годов"</t>
  </si>
  <si>
    <t>S1250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</si>
  <si>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</si>
  <si>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</si>
  <si>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</t>
  </si>
  <si>
    <t>(тыс.рублей)</t>
  </si>
  <si>
    <t>Основное мероприятие "Обеспечение создания условий для реализации муниципальной программы"</t>
  </si>
  <si>
    <t>Условно утверждаемые расходы</t>
  </si>
  <si>
    <t>ИТОГО РАСХОДОВ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</si>
  <si>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</si>
  <si>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</si>
  <si>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</si>
  <si>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</si>
  <si>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</si>
  <si>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</si>
  <si>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Основное мероприятие "Поддержка мер по обеспечению сбалансированности бюджетов поселений"</t>
  </si>
  <si>
    <t>Дотации  на выравнивание бюджетной обеспеченности</t>
  </si>
  <si>
    <t>70030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</si>
  <si>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</si>
  <si>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31 0 05 70030</t>
  </si>
  <si>
    <t>34 0 04 70030</t>
  </si>
  <si>
    <t>34 0 01 70030</t>
  </si>
  <si>
    <t>34 0 02 70030</t>
  </si>
  <si>
    <t>29 0 02 70030</t>
  </si>
  <si>
    <t>33 2 01 70010</t>
  </si>
  <si>
    <t>33 2 02 70020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</si>
  <si>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</si>
  <si>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</si>
  <si>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Муниципальная поддержка ветеранских организаций</t>
  </si>
  <si>
    <t>Организация и проведение профилактических мероприятий</t>
  </si>
  <si>
    <t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t>
  </si>
  <si>
    <t>Мероприятия по совершенствованию материально-технической базы</t>
  </si>
  <si>
    <t>Реализация мероприятий по профилактике алкоголизма и наркомании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</si>
  <si>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</si>
  <si>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</si>
  <si>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Подпрограмма "Профилактика безнадзорности, правонарушений и преступлений несовершеннолетних"</t>
  </si>
  <si>
    <t>Основное мероприятие "Обеспечение профилактики правонарушений, в том числе повторных, совершаемых несовершеннолетними"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</si>
  <si>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</si>
  <si>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E4</t>
  </si>
  <si>
    <t>от _______________ № ________</t>
  </si>
  <si>
    <t>от 23.12.2019 № 104</t>
  </si>
  <si>
    <t>"Приложение 13</t>
  </si>
  <si>
    <t>20030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</si>
  <si>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</si>
  <si>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26 0 F3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</si>
  <si>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</si>
  <si>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</si>
  <si>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46 0 F2 00000</t>
  </si>
  <si>
    <t>Основное мероприятие "Реализация регионального проекта "Современная школа"</t>
  </si>
  <si>
    <t>0105</t>
  </si>
  <si>
    <t>0309</t>
  </si>
  <si>
    <t>0408</t>
  </si>
  <si>
    <t>0505</t>
  </si>
  <si>
    <t>0603</t>
  </si>
  <si>
    <t>0907</t>
  </si>
  <si>
    <t>1001</t>
  </si>
  <si>
    <t>1006</t>
  </si>
  <si>
    <t>Основное мероприятие "Расширение внешних связей"</t>
  </si>
  <si>
    <t>P1</t>
  </si>
  <si>
    <t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t>
  </si>
  <si>
    <t>Муниципальная программа «Управление и распоряжение муниципальным имуществом Белозерского муниципального района на 2020-2025 годы»</t>
  </si>
  <si>
    <t>Основное мероприятие «Осуществление кадастрового учета объектов недвижимости и земельных участков»</t>
  </si>
  <si>
    <t>Основное мероприятие «Проведение работ по оценке стоимости аренды, продажи или залоговой стоимости объектов»</t>
  </si>
  <si>
    <t>Оценка недвижимости, признание прав и регулирование отношений по государственной  (муниципальной)  собственности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</si>
  <si>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t>
  </si>
  <si>
    <t>Основное мероприятие «Обеспечение деятельности Управления имущественных отношений»</t>
  </si>
  <si>
    <t>48 0 00 00000</t>
  </si>
  <si>
    <t>48 0 01 00000</t>
  </si>
  <si>
    <t>48 0 01 20520</t>
  </si>
  <si>
    <t>48 0 02 00000</t>
  </si>
  <si>
    <t>48 0 02 20510</t>
  </si>
  <si>
    <t>48 0 03 00000</t>
  </si>
  <si>
    <t>48 0 03 20530</t>
  </si>
  <si>
    <t>48 0 04 00000</t>
  </si>
  <si>
    <t>48 0 04 00190</t>
  </si>
  <si>
    <t>48 0 P1 72300</t>
  </si>
  <si>
    <t>48 0 P1 00000</t>
  </si>
  <si>
    <t>Основное мероприятие «Ремонт автодороги западного района г.Белозерска (подъезд к участкам отдельных категорий граждан)»</t>
  </si>
  <si>
    <t>23060</t>
  </si>
  <si>
    <t>Реализация мероприятий, направленных на предупреждение экстремизма и терроризма</t>
  </si>
  <si>
    <t>26 0 F3 67483</t>
  </si>
  <si>
    <t>20590</t>
  </si>
  <si>
    <t>Проведение мероприятий для детей и молодежи</t>
  </si>
  <si>
    <t>Муниципальная программа охраны окружающей среды и рационального использования природных ресурсов на 2021-2025 годы</t>
  </si>
  <si>
    <t>32 0 00 00000</t>
  </si>
  <si>
    <t>32 0 G5 00000</t>
  </si>
  <si>
    <t>32 0 G5 52430</t>
  </si>
  <si>
    <t>32 0 01 00000</t>
  </si>
  <si>
    <t>32 0 01 20110</t>
  </si>
  <si>
    <t>240</t>
  </si>
  <si>
    <t>32 0 02 00000</t>
  </si>
  <si>
    <t>32 0 02 20110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</si>
  <si>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</si>
  <si>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</si>
  <si>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S1370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</si>
  <si>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</si>
  <si>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</si>
  <si>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</si>
  <si>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</si>
  <si>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"Сохранение и популяризация объектов культурного наследия"</t>
  </si>
  <si>
    <t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t>
  </si>
  <si>
    <t>Обслуживание государственного (муниципального) внутреннего долга</t>
  </si>
  <si>
    <t>Гражданская оборона</t>
  </si>
  <si>
    <t>Мероприятия, направленные на повышение уровня финансовой грамотности</t>
  </si>
  <si>
    <t>18 0 00 00000</t>
  </si>
  <si>
    <t>18 0 05 00000</t>
  </si>
  <si>
    <t>Реализация мероприятий проекта "Народный бюджет"</t>
  </si>
  <si>
    <t>2024 год</t>
  </si>
  <si>
    <t>Мероприятия по социальной адаптации и реабилитации</t>
  </si>
  <si>
    <t>Основное мероприятие "Ремонт  улично-дорожной сети западного района г.Белозерска (подъезд к земельным участкам отдельных категорий граждан)"</t>
  </si>
  <si>
    <t>Основное мероприятие "Разработка проектно-сметной документации для ремонта автодорог общего пользования местного значения, прохождение государственной экспертизы проверки достоверности определения сметной документации"</t>
  </si>
  <si>
    <t>Публичные нормативные выплаты гражданам несоциального характера</t>
  </si>
  <si>
    <t>Приобретение услуг распределительно-логистического центра на поставки продовольственных товаров для муниципальных образовательных организаций</t>
  </si>
  <si>
    <t>Выплаты Почетным гражданам</t>
  </si>
  <si>
    <t>Муниципальная поддержка социально ориентированных некоммерческих организаций</t>
  </si>
  <si>
    <t>Обеспечение проведения выборов и референдумов</t>
  </si>
  <si>
    <t>Собрания округа</t>
  </si>
  <si>
    <t>Приложение 3</t>
  </si>
  <si>
    <t>к решению Представительного Собрания округа</t>
  </si>
  <si>
    <t xml:space="preserve">                                                                  к решению Представительного Собрания округа</t>
  </si>
  <si>
    <t>S1490</t>
  </si>
  <si>
    <t>Расходы на обеспечение питанием обучающихся с ОВЗ</t>
  </si>
  <si>
    <t>Приложение 4</t>
  </si>
  <si>
    <t xml:space="preserve">                                                                  Приложение 5</t>
  </si>
  <si>
    <t>Приложение 6</t>
  </si>
  <si>
    <t>2025 год</t>
  </si>
  <si>
    <t>Собрания округа "О бюджете округа</t>
  </si>
  <si>
    <t xml:space="preserve">                                                             к решению Представительного Собрания округа</t>
  </si>
  <si>
    <t xml:space="preserve">                                                                 к решению Представительного Собрания округа</t>
  </si>
  <si>
    <t>Представительное Собрание округа</t>
  </si>
  <si>
    <t>Контрольно-счетная комиссия округа</t>
  </si>
  <si>
    <t>Администрация округа</t>
  </si>
  <si>
    <t>Территориальное управление "Белозерское"</t>
  </si>
  <si>
    <t>Финансовое управление администрации округа</t>
  </si>
  <si>
    <t>Управление имущественных отношений администрации округа</t>
  </si>
  <si>
    <t>Управление образования администрации округа</t>
  </si>
  <si>
    <t>Территориальное управление "Восточное"</t>
  </si>
  <si>
    <t>Территориальное управление "Западное"</t>
  </si>
  <si>
    <t>16</t>
  </si>
  <si>
    <t>23070</t>
  </si>
  <si>
    <t>20300</t>
  </si>
  <si>
    <t>S1360</t>
  </si>
  <si>
    <t>Основное мероприятие "Повышение инвестиционной привлекательности Белозерского муниципального округа"</t>
  </si>
  <si>
    <t>S1960</t>
  </si>
  <si>
    <t>S1980</t>
  </si>
  <si>
    <t>83030</t>
  </si>
  <si>
    <t>17</t>
  </si>
  <si>
    <t>62050</t>
  </si>
  <si>
    <t>51180</t>
  </si>
  <si>
    <t>55551</t>
  </si>
  <si>
    <t>71552</t>
  </si>
  <si>
    <t>20</t>
  </si>
  <si>
    <t>S1090</t>
  </si>
  <si>
    <t>55553</t>
  </si>
  <si>
    <t>S3390</t>
  </si>
  <si>
    <t>0000</t>
  </si>
  <si>
    <t>20580</t>
  </si>
  <si>
    <t>15</t>
  </si>
  <si>
    <t>S1400</t>
  </si>
  <si>
    <t>18</t>
  </si>
  <si>
    <t>23090</t>
  </si>
  <si>
    <t>24010</t>
  </si>
  <si>
    <t>24030</t>
  </si>
  <si>
    <t>24040</t>
  </si>
  <si>
    <t>Муниципальная  программа основных направлений кадровой  политики в Белозерском муниципальном округе на 2023 – 2027 годы</t>
  </si>
  <si>
    <t>Основное мероприятие «Комплекс стимулирующих мер по закреплению кадров в округе»</t>
  </si>
  <si>
    <t>Муниципальная программа "Обеспечение деятельности администрации Белозерского муниципального округа и подведомственных учреждений" на 2023-2027 годы</t>
  </si>
  <si>
    <t>Основное мероприятие "Обеспечение деятельности структурных подразделений администрации округа по выполнению полномочий местного значения"</t>
  </si>
  <si>
    <t>Основное мероприятие "Осуществление администрацией округа переданных отдельных государственных полномочий"</t>
  </si>
  <si>
    <t>Основное мероприятие "Обеспечение деятельности учреждений, подведомственных администрации округа"</t>
  </si>
  <si>
    <t>Муниципальная программа "Обеспечение профилактики правонарушений, безопасности населения на территории Белозерского муниципального округа в 2023-2027 годах"</t>
  </si>
  <si>
    <t>Подпрограмма "Развитие системы комплексной безопасности жизнедеятельности населения района"</t>
  </si>
  <si>
    <t>Основное мероприятие "Предупреждение и ликвидация чрезвычайных ситуаций, защита населения и территории округа от чрезвычайных ситуаций природного и техногенного характера"</t>
  </si>
  <si>
    <t>Основное мероприятие "Реализация профилактических и пропагандистских мер, направленных на культурное, спортивное, нравственное, патриотическое воспитание и правовое просвещение граждан"</t>
  </si>
  <si>
    <t>Мероприятия по профилактике и пропаганде</t>
  </si>
  <si>
    <t>Основное мероприятие "Проведение мероприятий, направленных на предупреждение экстремизма и терроризма, а также профилактики правонарушений"</t>
  </si>
  <si>
    <t>Основное мероприятие "Обеспечение социальной адаптации и реабилитации лиц, отбывших наказание в местах лишения свободы"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</si>
  <si>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</si>
  <si>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Мероприятия по противодействю незаконному обороту наркотиков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</si>
  <si>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округе на 2023-2027 годы"</t>
  </si>
  <si>
    <t>Ремонт автодорог общего пользования</t>
  </si>
  <si>
    <t>Муниципальная программа развития туризма в Белозерском муниципальном округе «Белозерск – Былинный город» на 2023-2027 годы</t>
  </si>
  <si>
    <t>Основное мероприятие "Создание положительного туристического имиджа округа, совершенствование системы информационного обеспечения туристской деятельности, активная рекламная политика"</t>
  </si>
  <si>
    <t>Муниципальная   программа «Экономическое развитие Белозерского муниципального округа на 2023 – 2027 годы»</t>
  </si>
  <si>
    <t>Муниципальная программа "Развитие систем коммунальной инфраструктуры и энергосбережение в Белозерском муниципальном округе на 2023-2027 годы"</t>
  </si>
  <si>
    <t>Основное мероприятие "Разработка схем и программ в сфере коммунального хозяйства и топливно-энергитического комплекса"</t>
  </si>
  <si>
    <t>Мероприятия в сфере коммунального хозяйства и топливно-энергетического комплекса</t>
  </si>
  <si>
    <t>Поддержка коммунального хозяйства</t>
  </si>
  <si>
    <t>Муниципальная программа охраны окружающей среды и рационального использования природных ресурсов на 2023-2027 годы</t>
  </si>
  <si>
    <t>Рекультивация земельных участков, занятых несанкционированными свалками отходов</t>
  </si>
  <si>
    <t>Муниципальная программа "Формирование современной городской среды на территории Белозерского муниципального округа на 2023-2030 годы"</t>
  </si>
  <si>
    <t>Реализация мероприятий по благоустройству общественных территорий</t>
  </si>
  <si>
    <t>Взносы в ФКР</t>
  </si>
  <si>
    <t>Муниципальная  программа «Развитие культуры Белозерского муниципального округа» на 2023 – 2027 годы</t>
  </si>
  <si>
    <t>Муниципальная программа «Молодежь Белозерья» на 2023-2027 годы</t>
  </si>
  <si>
    <t>Основное мероприятие "Повышение компетенций молодежи округа путем участия в областных молодежных форумах и мероприятиях"</t>
  </si>
  <si>
    <t>Основное мероприятие «Организация библиотечно-информационного обслуживания населения муниципальными учреждениями округа»</t>
  </si>
  <si>
    <t>Обеспечение развития и укрепления материально-технической базы муниципальных учреждений отрасли культуры</t>
  </si>
  <si>
    <t>Комплектование книжных фондов муниципальных библиотек</t>
  </si>
  <si>
    <t>Основное мероприятие «Реализация проектов, мероприятий, направленных на формирование и сохранение единого культурного пространства округа»</t>
  </si>
  <si>
    <t>Доплаты к пенсиям муниципальных служащих</t>
  </si>
  <si>
    <t>Муниципальная программа "Поддержка социально ориентированных некоммерческих организаций в Белозерском муниципальном округе" на 2023-2027 годы</t>
  </si>
  <si>
    <t>Муниципальная программа «Развитие физической культуры и спорта Белозерского муниципального округа» на 2023– 2027 годы</t>
  </si>
  <si>
    <t>Обеспечение деятельности территориального управления "Белозерское"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</si>
  <si>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</si>
  <si>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Основное мероприятие "Обустройство зон санитарной охраны источников водоснабжения"</t>
  </si>
  <si>
    <t>Мероприятия по обустройству зон санитарной охраны</t>
  </si>
  <si>
    <t>Национальная оборона</t>
  </si>
  <si>
    <t>Мобилизационная и вневойсковая подготовка</t>
  </si>
  <si>
    <t>Реализация мероприятий по благоустройству дворовых территорий</t>
  </si>
  <si>
    <t>Реализация мероприятий по благоустройству общественных пространств</t>
  </si>
  <si>
    <t>Муниципальная программа "Благоустройство территории Белозерского муниципального округа" на 2023-2027 годы</t>
  </si>
  <si>
    <t>Организация уличного освещения</t>
  </si>
  <si>
    <t>Реализация мероприятий по цифровизации городского хозяйства</t>
  </si>
  <si>
    <t>Расходы на содержание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</si>
  <si>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Основное мероприятие "Осуществление полномочий в части организации в границах поселения электро-, тепло-, газо- и водоснабжения населения, водоотведения, снабжения населения топливом"</t>
  </si>
  <si>
    <t>Расходы на организацию в границах поселения электро-, тепло-, газо- и водоснабжения населения, водоотведения, снабжения населения топливом</t>
  </si>
  <si>
    <t>Муниципальная программа «Управление муниципальными финансами Белозерского муниципального округа на 2023-2027 годы»</t>
  </si>
  <si>
    <t>Подпрограмма "Обеспечение сбалансированности бюджета округа и повышение эффективности бюджетных расходов на 2023-2027 годы"</t>
  </si>
  <si>
    <t>Основное мероприятие "Формирование и публикация в открытых источниках информации о бюджетном процессе в округе"</t>
  </si>
  <si>
    <t>Подпрограмма "Обеспечение реализации муниципальной программы "Управление муниципальными финансами Белозерского муниципального округа на 2023-2027 годы"</t>
  </si>
  <si>
    <t>Основное мероприятие "Обеспечение деятельности финансового управления Белозерского муниципального округа,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бюджета округа, а также материальных ценностей, находящихся в собственности округа"</t>
  </si>
  <si>
    <t>Подпрограмма "Повышение финансовой грамотности населения округа"</t>
  </si>
  <si>
    <t>Основное мероприятие "Проведение мероприятий, направленных на повышение уровня финансовой грамотности населения округа"</t>
  </si>
  <si>
    <t>Муниципальная программа «Управление и распоряжение муниципальным имуществом Белозерского муниципального округа на 2023-2027 годы»</t>
  </si>
  <si>
    <t>Муниципальная программа «Развитие системы образования Белозерского муниципального округа на 2023-2027 годы»</t>
  </si>
  <si>
    <t>Основное мероприятие "Развитие  дополнительного образования детей, системы воспитания"</t>
  </si>
  <si>
    <t>Муниципальная  программа «Организация отдыха и занятости детей Белозерского муниципального округа в каникулярное время на 2023-2027 годы»</t>
  </si>
  <si>
    <t>Основное мероприятие "Кадровое обеспечение системы образования округа"</t>
  </si>
  <si>
    <t>Муниципальная  программа «Формирование законопослушного поведения участников дорожного движения в Белозерском муниципальном округе на 2023-2027 годы»</t>
  </si>
  <si>
    <t>Основное мероприятие "Предупреждение опасного поведения участников дорожного движения"</t>
  </si>
  <si>
    <t>Обеспечение деятельности территориального управления "Восточное"</t>
  </si>
  <si>
    <t>Основное мероприятие "Выполнение работ по предотвращению распространения Борщевика на территории муниципального округа"</t>
  </si>
  <si>
    <t>Расходы на проведение мероприятий по предотвращению распространения сорного растения борщевик Сосновского</t>
  </si>
  <si>
    <t>Обеспечение деятельности территориального управления "Западное"</t>
  </si>
  <si>
    <t>НАЦИОНАЛЬНАЯ ОБОРОНА</t>
  </si>
  <si>
    <t>673</t>
  </si>
  <si>
    <t>01 0 00 00000</t>
  </si>
  <si>
    <t>01 0 01 00000</t>
  </si>
  <si>
    <t>01 0 01 00190</t>
  </si>
  <si>
    <t>672</t>
  </si>
  <si>
    <t>01 0 02 00000</t>
  </si>
  <si>
    <t>01 0 02 00190</t>
  </si>
  <si>
    <t>01 0 03 00000</t>
  </si>
  <si>
    <t>01 0 03 00190</t>
  </si>
  <si>
    <t>01 0 04 00000</t>
  </si>
  <si>
    <t>01 0 04 00190</t>
  </si>
  <si>
    <t>01 0 05 00000</t>
  </si>
  <si>
    <t>01 0 05 00190</t>
  </si>
  <si>
    <t>02 0 00 00000</t>
  </si>
  <si>
    <t>02 0 01 00000</t>
  </si>
  <si>
    <t>02 0 01 20210</t>
  </si>
  <si>
    <t>02 0 02 00000</t>
  </si>
  <si>
    <t>02 0 02 20210</t>
  </si>
  <si>
    <t>02 0 03 00000</t>
  </si>
  <si>
    <t>02 0 03 20210</t>
  </si>
  <si>
    <t>02 0 03 83030</t>
  </si>
  <si>
    <t>03 0 00 00000</t>
  </si>
  <si>
    <t>03 0 01 00000</t>
  </si>
  <si>
    <t>03 0 01 16590</t>
  </si>
  <si>
    <t>668</t>
  </si>
  <si>
    <t>03 0 02 00000</t>
  </si>
  <si>
    <t>03 0 02 16590</t>
  </si>
  <si>
    <t>03 0 02 70030</t>
  </si>
  <si>
    <t>03 0 03 00000</t>
  </si>
  <si>
    <t>03 0 03 S1760</t>
  </si>
  <si>
    <t>04 0 01 00190</t>
  </si>
  <si>
    <t>04 0 01 12590</t>
  </si>
  <si>
    <t>04 0 01 70030</t>
  </si>
  <si>
    <t>04 0 01 72010</t>
  </si>
  <si>
    <t>04 0 02 00000</t>
  </si>
  <si>
    <t>04 0 02 00190</t>
  </si>
  <si>
    <t>04 0 01 S1490</t>
  </si>
  <si>
    <t>04 0 02 13590</t>
  </si>
  <si>
    <t>04 0 02 53031</t>
  </si>
  <si>
    <t>04 0 02 70030</t>
  </si>
  <si>
    <t>04 0 02 72010</t>
  </si>
  <si>
    <t>04 0 02 L3041</t>
  </si>
  <si>
    <t>04 0 02 S1490</t>
  </si>
  <si>
    <t>04 0 E1 00000</t>
  </si>
  <si>
    <t>04 0 E4 00000</t>
  </si>
  <si>
    <t>04 0 03 00190</t>
  </si>
  <si>
    <t>04 0 03 15590</t>
  </si>
  <si>
    <t>04 0 03 70030</t>
  </si>
  <si>
    <t>04 0 04 00190</t>
  </si>
  <si>
    <t>04 0 02 72020</t>
  </si>
  <si>
    <t>04 0 06 00000</t>
  </si>
  <si>
    <t>04 0 06 00190</t>
  </si>
  <si>
    <t>04 0 06 70030</t>
  </si>
  <si>
    <t>04 0 01 72020</t>
  </si>
  <si>
    <t>05 0 00 00000</t>
  </si>
  <si>
    <t>05 0 01 01590</t>
  </si>
  <si>
    <t>05 0 02 00000</t>
  </si>
  <si>
    <t>05 0 02 01590</t>
  </si>
  <si>
    <t>05 0 03 00000</t>
  </si>
  <si>
    <t>05 0 03 01590</t>
  </si>
  <si>
    <t>05 0 04 00000</t>
  </si>
  <si>
    <t>05 0 04 01590</t>
  </si>
  <si>
    <t>05 0 05 00000</t>
  </si>
  <si>
    <t>05 0 05 01590</t>
  </si>
  <si>
    <t>05 0 05 70030</t>
  </si>
  <si>
    <t>05 0 06 00000</t>
  </si>
  <si>
    <t>05 0 06 01590</t>
  </si>
  <si>
    <t>06 0 00 00000</t>
  </si>
  <si>
    <t>07 0 00 00000</t>
  </si>
  <si>
    <t>07 1 00 00000</t>
  </si>
  <si>
    <t>07 1 03 00190</t>
  </si>
  <si>
    <t>670</t>
  </si>
  <si>
    <t>07 1 03 00000</t>
  </si>
  <si>
    <t>07 3 00 00000</t>
  </si>
  <si>
    <t>07 3 01 00000</t>
  </si>
  <si>
    <t>07 3 01 00190</t>
  </si>
  <si>
    <t>07 3 01 70030</t>
  </si>
  <si>
    <t>07 3 02 00000</t>
  </si>
  <si>
    <t>07 3 02 00590</t>
  </si>
  <si>
    <t>07 3 02 70030</t>
  </si>
  <si>
    <t>07 4 00 00000</t>
  </si>
  <si>
    <t>07 4 01 00000</t>
  </si>
  <si>
    <t>07 4 01 20580</t>
  </si>
  <si>
    <t>08 0 00 00000</t>
  </si>
  <si>
    <t>08 0 01 00000</t>
  </si>
  <si>
    <t>08 0 01 03590</t>
  </si>
  <si>
    <t>08 0 01 70030</t>
  </si>
  <si>
    <t>08 0 01 S1960</t>
  </si>
  <si>
    <t>08 0 01 S1980</t>
  </si>
  <si>
    <t>08 0 02 00000</t>
  </si>
  <si>
    <t>08 0 02 01590</t>
  </si>
  <si>
    <t>08 0 02 70030</t>
  </si>
  <si>
    <t>08 0 03 00000</t>
  </si>
  <si>
    <t>08 0 03 01590</t>
  </si>
  <si>
    <t>08 0 03 S1960</t>
  </si>
  <si>
    <t>08 0 04 00000</t>
  </si>
  <si>
    <t>08 0 04 15590</t>
  </si>
  <si>
    <t>08 0 04 70030</t>
  </si>
  <si>
    <t>09 1 00 00000</t>
  </si>
  <si>
    <t>09 1 01 00000</t>
  </si>
  <si>
    <t>09 1 01 23070</t>
  </si>
  <si>
    <t>09 1 02 00000</t>
  </si>
  <si>
    <t>09 1 02 23060</t>
  </si>
  <si>
    <t>09 1 02 S1060</t>
  </si>
  <si>
    <t>09 1 03 00000</t>
  </si>
  <si>
    <t>09 1 03 23060</t>
  </si>
  <si>
    <t>09 2 00 00000</t>
  </si>
  <si>
    <t>09 2 01 00000</t>
  </si>
  <si>
    <t>09 3 00 00000</t>
  </si>
  <si>
    <t>09 3 01 23060</t>
  </si>
  <si>
    <t>09 3 01 00000</t>
  </si>
  <si>
    <t>09 3 04 00000</t>
  </si>
  <si>
    <t>09 3 04 23060</t>
  </si>
  <si>
    <t>09 2 01 72310</t>
  </si>
  <si>
    <t>09 4 00 00000</t>
  </si>
  <si>
    <t>09 4 01 00000</t>
  </si>
  <si>
    <t>09 4 01 00590</t>
  </si>
  <si>
    <t>09 4 01 70030</t>
  </si>
  <si>
    <t>09 4 04 00000</t>
  </si>
  <si>
    <t>09 4 04 20030</t>
  </si>
  <si>
    <t>10 0 00 00000</t>
  </si>
  <si>
    <t>10 0 01 20590</t>
  </si>
  <si>
    <t>10 0 02 00000</t>
  </si>
  <si>
    <t>10 0 02 20590</t>
  </si>
  <si>
    <t>10 0 03 00000</t>
  </si>
  <si>
    <t>10 0 03 20590</t>
  </si>
  <si>
    <t>10 0 04 00000</t>
  </si>
  <si>
    <t>10 0 04 L4970</t>
  </si>
  <si>
    <t>11 0 00 00000</t>
  </si>
  <si>
    <t>11 0 01 00000</t>
  </si>
  <si>
    <t>11 0 01 20440</t>
  </si>
  <si>
    <t>11 0 02 00000</t>
  </si>
  <si>
    <t>11 0 02 20450</t>
  </si>
  <si>
    <t>12 0 00 00000</t>
  </si>
  <si>
    <t>12 0 01 00000</t>
  </si>
  <si>
    <t>12 0 01 20450</t>
  </si>
  <si>
    <t>12 0 01 S1250</t>
  </si>
  <si>
    <t>12 0 02 00000</t>
  </si>
  <si>
    <t>12 0 02 20460</t>
  </si>
  <si>
    <t>13 0 00 00000</t>
  </si>
  <si>
    <t>13 0 F2 00000</t>
  </si>
  <si>
    <t>13 0 F2 55552</t>
  </si>
  <si>
    <t>13 0 F2 55551</t>
  </si>
  <si>
    <t>669</t>
  </si>
  <si>
    <t>13 0 F2 71552</t>
  </si>
  <si>
    <t>14 0 00 00000</t>
  </si>
  <si>
    <t>14 0 01 00000</t>
  </si>
  <si>
    <t>14 0 01 20300</t>
  </si>
  <si>
    <t>14 0 02 00000</t>
  </si>
  <si>
    <t>14 0 02 20300</t>
  </si>
  <si>
    <t>671</t>
  </si>
  <si>
    <t>14 0 03 00000</t>
  </si>
  <si>
    <t>14 0 03 20300</t>
  </si>
  <si>
    <t>674</t>
  </si>
  <si>
    <t>14 0 04 00000</t>
  </si>
  <si>
    <t>14 0 04 S1360</t>
  </si>
  <si>
    <t>14 0 05 00000</t>
  </si>
  <si>
    <t>15 0 00 00000</t>
  </si>
  <si>
    <t>15 0 P1 00000</t>
  </si>
  <si>
    <t>15 0 P1 72300</t>
  </si>
  <si>
    <t>15 0 01 00000</t>
  </si>
  <si>
    <t>15 0 01 20520</t>
  </si>
  <si>
    <t>15 0 02 00000</t>
  </si>
  <si>
    <t>15 0 02 20510</t>
  </si>
  <si>
    <t>15 0 03 00000</t>
  </si>
  <si>
    <t>15 0 03 20530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</si>
  <si>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округа»</t>
  </si>
  <si>
    <t>Выполнение других обязательств, связанных с содержанием имущества, находящегося в казне округа</t>
  </si>
  <si>
    <t>15 0 04 00000</t>
  </si>
  <si>
    <t>15 0 04 00190</t>
  </si>
  <si>
    <t>15 0 04 70030</t>
  </si>
  <si>
    <t>16 0 00 00000</t>
  </si>
  <si>
    <t>16 0 01 00000</t>
  </si>
  <si>
    <t>16 0 01 00190</t>
  </si>
  <si>
    <t>0102</t>
  </si>
  <si>
    <t>16 0 01 70030</t>
  </si>
  <si>
    <t>16 0 01 S2270</t>
  </si>
  <si>
    <t>16 0 01 02000</t>
  </si>
  <si>
    <t>16 0 02 00000</t>
  </si>
  <si>
    <t>16 0 02 00190</t>
  </si>
  <si>
    <t>16 0 02 70030</t>
  </si>
  <si>
    <t>16 0 02 51180</t>
  </si>
  <si>
    <t>0203</t>
  </si>
  <si>
    <t>16 0 02 00590</t>
  </si>
  <si>
    <t>16 0 02 90010</t>
  </si>
  <si>
    <t>16 0 02 83010</t>
  </si>
  <si>
    <t>16 0 03 00000</t>
  </si>
  <si>
    <t>16 0 03 00190</t>
  </si>
  <si>
    <t>16 0 03 70030</t>
  </si>
  <si>
    <t>16 0 03 90010</t>
  </si>
  <si>
    <t>16 0 03 83010</t>
  </si>
  <si>
    <t>16 0 04 00000</t>
  </si>
  <si>
    <t>16 0 04 00190</t>
  </si>
  <si>
    <t>16 0 04 70030</t>
  </si>
  <si>
    <t>16 0 04 90010</t>
  </si>
  <si>
    <t>16 0 04 83010</t>
  </si>
  <si>
    <t>16 0 05 00000</t>
  </si>
  <si>
    <t>16 0 05 51200</t>
  </si>
  <si>
    <t>16 0 05 72190</t>
  </si>
  <si>
    <t>16 0 05 72310</t>
  </si>
  <si>
    <t xml:space="preserve">16 0 05 S1370 </t>
  </si>
  <si>
    <t>16 0 05 72110</t>
  </si>
  <si>
    <t>16 0 05 72230</t>
  </si>
  <si>
    <t>16 0 06 00000</t>
  </si>
  <si>
    <t>16 0 06 00590</t>
  </si>
  <si>
    <t>16 0 06 70030</t>
  </si>
  <si>
    <t>16 0 06 72250</t>
  </si>
  <si>
    <t>16 0 07 62030</t>
  </si>
  <si>
    <t>16 0 07 83020</t>
  </si>
  <si>
    <t>16 0 07 83010</t>
  </si>
  <si>
    <t>16 0 07 00000</t>
  </si>
  <si>
    <t>17 0 00 00000</t>
  </si>
  <si>
    <t>18 0 01 00000</t>
  </si>
  <si>
    <t>18 0 01 90020</t>
  </si>
  <si>
    <t>18 0 02 00000</t>
  </si>
  <si>
    <t>18 0 02 24010</t>
  </si>
  <si>
    <t>18 0 04 00000</t>
  </si>
  <si>
    <t>18 0 04 24030</t>
  </si>
  <si>
    <t>18 0 05 24040</t>
  </si>
  <si>
    <t>18 0 09 00000</t>
  </si>
  <si>
    <t>18 0 09 23090</t>
  </si>
  <si>
    <t>20 0 00 00000</t>
  </si>
  <si>
    <t>20 0 03 00000</t>
  </si>
  <si>
    <t>20 0 03 S1090</t>
  </si>
  <si>
    <t>20 0 04 00000</t>
  </si>
  <si>
    <t>20 0 04 S1400</t>
  </si>
  <si>
    <t>20 0 F2 55553</t>
  </si>
  <si>
    <t>Основное мероприятие "Оказание поддержки молодым семьям округа"</t>
  </si>
  <si>
    <t>Основное мероприятие «Развитие малого и среднего предпринимательства на территории Белозерского муниципального округа»</t>
  </si>
  <si>
    <t xml:space="preserve">Обеспечение мероприятий по переселению граждан из аварийного жилищного фонда за счет средств бюджета округа </t>
  </si>
  <si>
    <t>Обеспечение мероприятий по переселению граждан из аварийного жилищного фонда за счет средств бюджета округа</t>
  </si>
  <si>
    <t>51720</t>
  </si>
  <si>
    <t>04 0 E1 51720</t>
  </si>
  <si>
    <t>S3242</t>
  </si>
  <si>
    <t>Реализация мероприятий по обустройству объектов городской и сельской инфраструктуры для занятий физической культурой и спортом</t>
  </si>
  <si>
    <t>03 0 03 S3242</t>
  </si>
  <si>
    <t>51760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</si>
  <si>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</si>
  <si>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16 0 05 51760</t>
  </si>
  <si>
    <t>S1350</t>
  </si>
  <si>
    <t>14 0 01 S1350</t>
  </si>
  <si>
    <t>Основное мероприятие "Реализация регионального проекта "Патриотическое воспитание граждан Российской Федерации"</t>
  </si>
  <si>
    <t>EВ</t>
  </si>
  <si>
    <t>51790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</si>
  <si>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</si>
  <si>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04 0 ЕВ 00000</t>
  </si>
  <si>
    <t>04 0 ЕВ 51790</t>
  </si>
  <si>
    <t>Основное мероприятие "Модернизация сети муниципальных образовательных учреждений"</t>
  </si>
  <si>
    <t>04 0 05 12590</t>
  </si>
  <si>
    <t>04 0 05 13590</t>
  </si>
  <si>
    <t>S1460</t>
  </si>
  <si>
    <t>04 0 02 S1460</t>
  </si>
  <si>
    <t>52130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</si>
  <si>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</si>
  <si>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04 0 E4 52130</t>
  </si>
  <si>
    <t>Основное мероприятие "Осуществление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полномочий,установленных законодательством РФ""</t>
  </si>
  <si>
    <t>Расходы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полномочий,установленных законодательством РФ"</t>
  </si>
  <si>
    <t>Основное мероприятие "Осуществление полномочий в части организации в границах поселения электро-, тепло-, газо- и водоснабжения населения, водоотведения, снабжения населения топливом  в пределах полномочий,установленных законодательством РФ""</t>
  </si>
  <si>
    <t>Основное мероприятие "Возмещение части затрат на выполнение мероприятий по созданию и (или) реконструкции объектов концессионного соглашения и (или) затрат на использование ( эксплуатацию) указанных объектов"</t>
  </si>
  <si>
    <t>Основное мероприятие "Осуществление полномочий в части организации в границах округа электро-, тепло-, газо- и водоснабжения населения, водоотведения, снабжения населения топливом в пределах полномочий,установленных законодательством РФ""</t>
  </si>
  <si>
    <t>Муниципальная программа " Комплексное развитие сельских территорий Белозерского муниципального округа на 2023-2027 годы»</t>
  </si>
  <si>
    <t>21 0 00 00000</t>
  </si>
  <si>
    <t>Основное мероприятие "Создание и развитие инфраструктуры на сельских территориях"</t>
  </si>
  <si>
    <t>21 0 02 00000</t>
  </si>
  <si>
    <t>Реализация мероприятий по развитию сельских территорий</t>
  </si>
  <si>
    <t>21 0 02 23040</t>
  </si>
  <si>
    <t xml:space="preserve">0503 </t>
  </si>
  <si>
    <t>21</t>
  </si>
  <si>
    <t>23040</t>
  </si>
  <si>
    <t>06 0 02 S3370</t>
  </si>
  <si>
    <t>0602</t>
  </si>
  <si>
    <t>06 0 02 00000</t>
  </si>
  <si>
    <t>06 0 02 S3390</t>
  </si>
  <si>
    <t>Разработка проекта рекультивации земельных участков, занятых несанкционированными свалками</t>
  </si>
  <si>
    <t>S3370</t>
  </si>
  <si>
    <t>Сбор, удаление отходов и очистка сточных вод</t>
  </si>
  <si>
    <t>06 0 02 20110</t>
  </si>
  <si>
    <t>Основное мероприятие " Организация мероприятий по благоустройству территорий населенных пунктов округа"</t>
  </si>
  <si>
    <t>20 0 01 00000</t>
  </si>
  <si>
    <t>20 0 01 23050</t>
  </si>
  <si>
    <t>Мероприятий по благоустройству территорий населенных пунктов</t>
  </si>
  <si>
    <t>23050</t>
  </si>
  <si>
    <t>20 0 05 00000</t>
  </si>
  <si>
    <t>20 0 05 23050</t>
  </si>
  <si>
    <t>Основное мероприятие " Строительство сетей уличного освещения"</t>
  </si>
  <si>
    <t>Мероприятия по благоустройству территорий населенных пунктов</t>
  </si>
  <si>
    <t>18 0 10 00000</t>
  </si>
  <si>
    <t>Основное мероприятие "Инвентаризация и паспортизация водопроводных и канализационных сетей в г.Белозерск"</t>
  </si>
  <si>
    <t>18 0 10 24030</t>
  </si>
  <si>
    <t>Основное мероприятие " Обеспечение первичных мер пожарной безопасности в границах населенных пунктов ответственности ТУ администрации округа"</t>
  </si>
  <si>
    <t>09 4 02 00000</t>
  </si>
  <si>
    <t>09 4 02 23010</t>
  </si>
  <si>
    <t>Мероприятия по обеспечению мер пожарной безопасности</t>
  </si>
  <si>
    <t>0310</t>
  </si>
  <si>
    <t>16 0 03 51180</t>
  </si>
  <si>
    <t>16 0 04 51180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</si>
  <si>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</si>
  <si>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09 </t>
  </si>
  <si>
    <t>23010</t>
  </si>
  <si>
    <t xml:space="preserve">Основное мероприятие "Осуществление полномочий в части организации в границах округа электро-, тепло-, газо- и водоснабжения населения, водоотведения, снабжения населения топливом в пределах полномочий,установленных </t>
  </si>
  <si>
    <t>16 0 02 02000</t>
  </si>
  <si>
    <t>Основное мероприятие "Обеспечение деятельности структурных подразделений администрации округа по исполнению полномочий по решению вопросов местного значения"</t>
  </si>
  <si>
    <t>Обеспечение деятельности территориального управления "Белозерское" по выполнению исполнительных функций по вопросам местного значения и финансовое обеспечение подведомственного учреждения</t>
  </si>
  <si>
    <t>Обеспечение деятельности территориального управления "Западное"по выполнению исполнительных функций по вопросам местного значения и финансовое обеспечение подведомственного учреждения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</si>
  <si>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осуществляемых образовательную деятельность по адаптированным основным общеобразовательным программам.</t>
  </si>
  <si>
    <t>Основное мероприятие "Формирование комфортной городской среды в части благоустройства дворовых территорий "</t>
  </si>
  <si>
    <t>Обеспечение деятельности территориального управления "Восточное"по выполнению исполнительных функций по вопросам местного значения и финансовое обеспечение подведомственного учреждения</t>
  </si>
  <si>
    <t>Обеспечение деятельности территориального управления "Белозерское"по выполнению исполнительных функций по вопросам местного значения и финансовое обеспечение подведомственного учреждения</t>
  </si>
  <si>
    <t xml:space="preserve">Обеспечение деятельности территориального управления "Восточное" по выполнению исполнительных функций по вопросам местного значения </t>
  </si>
  <si>
    <t xml:space="preserve">Обеспечение деятельности территориального управления "Западное"по выполнению исполнительных функций по вопросам местного значения </t>
  </si>
  <si>
    <t xml:space="preserve">Обеспечение деятельности территориального управления "Западное" по выполнению исполнительных функций по вопросам местного значения </t>
  </si>
  <si>
    <t xml:space="preserve">Обеспечение деятельности территориального управления "Восточное"по выполнению исполнительных функций по вопросам местного значения </t>
  </si>
  <si>
    <t>04 0 01 13590</t>
  </si>
  <si>
    <t>21050</t>
  </si>
  <si>
    <t>Капитальный ремонт муниципального жилищного фонда</t>
  </si>
  <si>
    <t>612</t>
  </si>
  <si>
    <t>16 0 02 21050</t>
  </si>
  <si>
    <t>04 0 05 00190</t>
  </si>
  <si>
    <t>62030</t>
  </si>
  <si>
    <t>Премии и гранты</t>
  </si>
  <si>
    <t>S3280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</si>
  <si>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t>
  </si>
  <si>
    <t>03 0 03 S3280</t>
  </si>
  <si>
    <t>04 0 03 13590</t>
  </si>
  <si>
    <t>16 0 04 S2270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</si>
  <si>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бюджета округа</t>
  </si>
  <si>
    <t>23280</t>
  </si>
  <si>
    <t>03 0 03 23280</t>
  </si>
  <si>
    <t>16 0 03 23060</t>
  </si>
  <si>
    <t>16 0 02 S2270</t>
  </si>
  <si>
    <t>Мероприятия по благоустройству</t>
  </si>
  <si>
    <t>18 0 11 00000</t>
  </si>
  <si>
    <t>18 0 11 23050</t>
  </si>
  <si>
    <t>14 0 05 20300</t>
  </si>
  <si>
    <t>22270</t>
  </si>
  <si>
    <t>16 0 01 22270</t>
  </si>
  <si>
    <t>16 0 02 22270</t>
  </si>
  <si>
    <t>16 0 03 22270</t>
  </si>
  <si>
    <t>16 0 04 22270</t>
  </si>
  <si>
    <t>09505</t>
  </si>
  <si>
    <t>S9605</t>
  </si>
  <si>
    <t>Расходы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</si>
  <si>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 xml:space="preserve">Расходы на обеспечение мероприятий по модернизации систем коммунальной инфраструктуры </t>
  </si>
  <si>
    <t>18 0 04 09505</t>
  </si>
  <si>
    <t>18 0 04 S9605</t>
  </si>
  <si>
    <t>01 0 04 15590</t>
  </si>
  <si>
    <t>01 0 04 16590</t>
  </si>
  <si>
    <t>01 0 02 12590</t>
  </si>
  <si>
    <t>01 0 04 12590</t>
  </si>
  <si>
    <t>01 0 03 13590</t>
  </si>
  <si>
    <t>01 0 04 13590</t>
  </si>
  <si>
    <t>01 0 05 13590</t>
  </si>
  <si>
    <t>Основное мероприятие "Строительство общественных колодцев"</t>
  </si>
  <si>
    <t>Осуществление мероприятий по приспособлению жилого помещения и общего имущества в многоквартирном доме с учетом потребностей инвалидов</t>
  </si>
  <si>
    <t>S1750</t>
  </si>
  <si>
    <t>16 0 02 S1750</t>
  </si>
  <si>
    <t>13 0 F2 55553</t>
  </si>
  <si>
    <t>20670</t>
  </si>
  <si>
    <t>Основное мероприятие «Обеспечение деятельности муниципального казенного предприятия Белозерского муниципального округа Вологодской области «Жилищно-коммунальное хозяйство»»</t>
  </si>
  <si>
    <t>Возмещение части затрат муниципальному казенному предприятию «Жилищно-коммунальное хозяйство»</t>
  </si>
  <si>
    <t>18 0 12 20670</t>
  </si>
  <si>
    <t>18 0 12 00000</t>
  </si>
  <si>
    <t>83040</t>
  </si>
  <si>
    <t>Единовременная денежная выплата гражданам, в добровольном порядке заключившим контракт о прохождении военной службы в ВС РФ</t>
  </si>
  <si>
    <t>Основное мероприятие "Социальная поддержка отдельных категорий граждан и лиц, замещавших муниципальные должности и должности муниципальной службы в органах местного самоуправления Белозерского муниципального района (округа), граждан в добровольном порядке заключившим контракт о прохождении военной службы в ВС РФ, ветеранской организации округа"</t>
  </si>
  <si>
    <t>16 0 07 83040</t>
  </si>
  <si>
    <t>Основное мероприятие "Предоставление финансовой и имущественной поддержки социально ориентированным некоммерческим организациям"</t>
  </si>
  <si>
    <t>17 0 01 00000</t>
  </si>
  <si>
    <t>17 0 01 62050</t>
  </si>
  <si>
    <t>Основное мероприятие "Обустройство контейнерных площадок"</t>
  </si>
  <si>
    <t>20 0 02 23050</t>
  </si>
  <si>
    <t>20 0 02 00000</t>
  </si>
  <si>
    <t>СРЕДСТВА МАССОВОЙ ИНФОРМАЦИИ</t>
  </si>
  <si>
    <t>Периодическая печать и издательства</t>
  </si>
  <si>
    <t>Основное мероприятие "Предоставление субсидии АНО "Редакционно-издательский комплекс "Белозерье"""</t>
  </si>
  <si>
    <t>17 0 04 00000</t>
  </si>
  <si>
    <t>17 0 04 62050</t>
  </si>
  <si>
    <t>1202</t>
  </si>
  <si>
    <t>Основное мероприятие "Реализация регионального проекта "Спорт-норма жизни" в части обеспечения подготовки спортивного резерва"</t>
  </si>
  <si>
    <t>P5</t>
  </si>
  <si>
    <t>71610</t>
  </si>
  <si>
    <t>Создание условий для занятий инвалидов, лиц с ограниченными возможностями здоровья физической культурой и спортом</t>
  </si>
  <si>
    <t>03 0 P5 71610</t>
  </si>
  <si>
    <t>03 0 P5 00000</t>
  </si>
  <si>
    <t>S3040</t>
  </si>
  <si>
    <t>Расходы на строительство, реконструкцию и капитальный ремонт централизованных систем водоснабжения и водоотведения</t>
  </si>
  <si>
    <t>18 0 04 S3040</t>
  </si>
  <si>
    <t>Реализация мероприятий по благоустройству дворовых территорий многоквартирных домов</t>
  </si>
  <si>
    <t>71551</t>
  </si>
  <si>
    <t>13 0 F2 71551</t>
  </si>
  <si>
    <t>S1180</t>
  </si>
  <si>
    <t>Осуществление мероприятий по приспособлению зданий и помещений муниципальных дошкольных образовательных организаций и муниципальных общеобразовательных организаций для беспрепятственного доступа инвалидов (детей-инвалидов)</t>
  </si>
  <si>
    <t>04 0 05 S1180</t>
  </si>
  <si>
    <t>S1940</t>
  </si>
  <si>
    <t>Расходы на строительство, реконструкцию, капитальный ремонт, ремонт и благоустройство территорий образовательных организаций муниципальной собственности</t>
  </si>
  <si>
    <t>04 0 05 S1940</t>
  </si>
  <si>
    <t>Основное мероприятие "Разработка паспортов безопасности на мостовые сооружения"</t>
  </si>
  <si>
    <t>14 0 06 00000</t>
  </si>
  <si>
    <t>14 0 06 20300</t>
  </si>
  <si>
    <t xml:space="preserve">на 2024 год и плановый </t>
  </si>
  <si>
    <t>период 2025 и 2026 годов"</t>
  </si>
  <si>
    <t>2026 год</t>
  </si>
  <si>
    <t xml:space="preserve">                                                             "О бюджете округа на 2024 год </t>
  </si>
  <si>
    <t xml:space="preserve">                                                             и плановый период 2025 и 2026 годов" 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</si>
  <si>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 видов расходов на 2024 год и плановый период 2025-2026 годов</t>
  </si>
  <si>
    <t xml:space="preserve">                                                                 "О бюджете округа на 2024 год и плановый </t>
  </si>
  <si>
    <t xml:space="preserve">                                                                 период 2025 и 2026 годов"</t>
  </si>
  <si>
    <t>Распределение бюджетных ассигнований по разделам, подразделам, целевым статьям и видам расходов в ведомственной структуре расходов бюджета округа на 2024 год и плановый период 2025 и 2026 годов</t>
  </si>
  <si>
    <t>"О бюджете округа на  2024 год и плановый</t>
  </si>
  <si>
    <t>на 2024 год и плановый период 2025 и 2026 годов</t>
  </si>
  <si>
    <t xml:space="preserve">Сумма </t>
  </si>
  <si>
    <t>Тыс.рублей</t>
  </si>
  <si>
    <t>05 0 01 00000</t>
  </si>
  <si>
    <t>Природноохранные мероприятия</t>
  </si>
  <si>
    <t>Подпрограмма "Развитие системы комплексной безопасности жизнедеятельности населения Белозерского муниципального округа"</t>
  </si>
  <si>
    <t>Основное мероприятие " Обеспечение деятельности МКУ " Единая дежурно-диспетчерская служба Белозерского муниципального округа"</t>
  </si>
  <si>
    <t>10 0 01 00000</t>
  </si>
  <si>
    <t>97330</t>
  </si>
  <si>
    <t>Расходы на 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</t>
  </si>
  <si>
    <t>16 0 05 97330</t>
  </si>
  <si>
    <t>S1190</t>
  </si>
  <si>
    <t>Основное мероприятие "Приобретение специализированной техники для содержания улично-дорожной сети"</t>
  </si>
  <si>
    <t>Приобретение специализированной техники для содержания улично-дорожной сети"</t>
  </si>
  <si>
    <t>14 0 07 00000</t>
  </si>
  <si>
    <t>14 0 07 S1190</t>
  </si>
  <si>
    <t>71553</t>
  </si>
  <si>
    <t>Обустройство детских спортивных площадок</t>
  </si>
  <si>
    <t>13 0 F2 71553</t>
  </si>
  <si>
    <t>L7500</t>
  </si>
  <si>
    <t>L7501</t>
  </si>
  <si>
    <t>Расходы на реализацию мероприятий по модернизации школьных систем образования</t>
  </si>
  <si>
    <t>Расходы на реализацию мероприятий по модернизации школьных систем образования (оснащение отремонтированных зданий и (или) помещений муниципальных общеобразовательных организаций современными средствами обучения и воспитания)</t>
  </si>
  <si>
    <t>04 0 05 L7500</t>
  </si>
  <si>
    <t>04 0 05 L7501</t>
  </si>
  <si>
    <t>`</t>
  </si>
  <si>
    <t>Распределение бюджетных ассигнований по разделам, подразделам классификации расходов на 2024 год и плановый период 2025 и 2026 годов</t>
  </si>
  <si>
    <r>
      <t>от 19.12.2023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№ 297</t>
    </r>
  </si>
  <si>
    <t xml:space="preserve">                                                             от 19.12.2023 № 297</t>
  </si>
  <si>
    <t xml:space="preserve">                                                                 от 19.12.2023  № 297 </t>
  </si>
  <si>
    <t>от  19.12.2023 № 297</t>
  </si>
  <si>
    <t xml:space="preserve">L7500 </t>
  </si>
  <si>
    <t>Проведение аналитического контроля</t>
  </si>
  <si>
    <t>20120</t>
  </si>
  <si>
    <t>06 0 01 00000</t>
  </si>
  <si>
    <t>06 0 01 20120</t>
  </si>
  <si>
    <t>Основное мероприятие "Строительство, реконструкция и ремонт систем водоснабжения и водоотведения"</t>
  </si>
  <si>
    <t>04 0 04 13590</t>
  </si>
  <si>
    <t>16 0 03 S2270</t>
  </si>
  <si>
    <t>КУЛЬТУРА, КИНЕМАТОГРАФИЯ</t>
  </si>
  <si>
    <t>83050</t>
  </si>
  <si>
    <t>Дополнительная мера социальной поддержки семьям граждан, принимающих участие в СВО, в виде денежной компенсации на приобретение твердого топлива</t>
  </si>
  <si>
    <t>16 0 07 83050</t>
  </si>
  <si>
    <t>S1040</t>
  </si>
  <si>
    <t>Основное мероприятие "Укрепление материально-технической базы муниципальных физкультурно-спортивных организаций"</t>
  </si>
  <si>
    <t>Укрепление материально-технической базы</t>
  </si>
  <si>
    <t>03 0 05 S1040</t>
  </si>
  <si>
    <t>03 0 05 00000</t>
  </si>
  <si>
    <t>05 0 01 S1960</t>
  </si>
  <si>
    <t>S1810</t>
  </si>
  <si>
    <t>Расходы на создание и (или) ремонт источников наружного водоснабжения для забора воды в целях пожаротушения</t>
  </si>
  <si>
    <t>09 4 02 S1810</t>
  </si>
  <si>
    <t>S1251</t>
  </si>
  <si>
    <t>Расходы на доставку товаров в социально-значимые магазины в малонаселенных и (или) труднодоступных населенных пунктах</t>
  </si>
  <si>
    <t>12 0 01 S1251</t>
  </si>
  <si>
    <t>S1100</t>
  </si>
  <si>
    <t>Расходы на обустройство контейнерных площадок</t>
  </si>
  <si>
    <t>20 0 02 S1100</t>
  </si>
  <si>
    <t>Основное мероприятие "Обустройство детских спортивных площадок"</t>
  </si>
  <si>
    <t>S1553</t>
  </si>
  <si>
    <t>S3350</t>
  </si>
  <si>
    <t>Обустройство систем уличного освещения</t>
  </si>
  <si>
    <t>20 0 03 S3350</t>
  </si>
  <si>
    <t>Организация школьных музеев</t>
  </si>
  <si>
    <t>S1010</t>
  </si>
  <si>
    <t>04 0 02 S1010</t>
  </si>
  <si>
    <t>Проведение мероприятий по обеспечению условий для дошкольного образования</t>
  </si>
  <si>
    <t>S1990</t>
  </si>
  <si>
    <t>Создание агроклассов и (или) лесных классов</t>
  </si>
  <si>
    <t>S1070</t>
  </si>
  <si>
    <t>04 0 02 S1070</t>
  </si>
  <si>
    <t>S3150</t>
  </si>
  <si>
    <t>Основное мероприятие "Строительство, реконструкция и ремонт системы теплоснабжения"</t>
  </si>
  <si>
    <t>Расходы на подготовку объектов теплоэнергетики, находящихся в муниципальной собственности, к работе в осенне-зимний период</t>
  </si>
  <si>
    <t>18 0 13 00000</t>
  </si>
  <si>
    <t>18 0 13 S3150</t>
  </si>
  <si>
    <t>Обустройство контейнерных площадок</t>
  </si>
  <si>
    <t>83060</t>
  </si>
  <si>
    <t>Разовая денежная выплата для ветеранов боевых действий на территории республики Афганистан, в честь 35-ти летия вывода войск</t>
  </si>
  <si>
    <t>16 0 07 83060</t>
  </si>
  <si>
    <t>Расходы на ремонт водопроводных и канализационных путей</t>
  </si>
  <si>
    <t>04 0 05 15590</t>
  </si>
  <si>
    <t>16 0 03 02000</t>
  </si>
  <si>
    <t>16 0 03 20520</t>
  </si>
  <si>
    <t>16 0 04 02000</t>
  </si>
  <si>
    <t>"Приложение 3</t>
  </si>
  <si>
    <t xml:space="preserve">                                                             "Приложение 4</t>
  </si>
  <si>
    <t xml:space="preserve">                                                                 "Приложение 5</t>
  </si>
  <si>
    <t>"Приложение 6</t>
  </si>
  <si>
    <t>16 0 08 62050</t>
  </si>
  <si>
    <t>16 0 08 00000</t>
  </si>
  <si>
    <t>Основное мероприятие "Организация и обустройство уличного освещения"</t>
  </si>
  <si>
    <t xml:space="preserve">Основное мероприятие "Реализация регионального проекта "Формирование комфортной городской среды" </t>
  </si>
  <si>
    <t>13 0 02 S1553</t>
  </si>
  <si>
    <t>13 0 02 00000</t>
  </si>
  <si>
    <t>23030</t>
  </si>
  <si>
    <t>Градостроительное освоение территорий</t>
  </si>
  <si>
    <t>Основное мероприятие "Внесение изменений в генплан г.Белозерска"</t>
  </si>
  <si>
    <t>Муниципальная программа "Благоустройство территории Белозерского муниципального округа на 2023-2027 годы"</t>
  </si>
  <si>
    <t>20 0 06 00000</t>
  </si>
  <si>
    <t>20 0 06 23030</t>
  </si>
  <si>
    <t>04 0 05 S1990</t>
  </si>
  <si>
    <t>04 0 05 S1010</t>
  </si>
  <si>
    <t>04 0 05 S1070</t>
  </si>
  <si>
    <t>Основное мероприятие "Мероприятия по охране, рациональному и комплексному использованию водных ресурсов"</t>
  </si>
  <si>
    <t>Основное мероприятие "Выполнение кадастровых работ в отношении автомобильных дорог и улиц местного значения"</t>
  </si>
  <si>
    <t>Расходы на приобретение специализированного автотранспорта для развития мобильной торговли в малонаселенных и (или) труднодоступных населенных пунктах</t>
  </si>
  <si>
    <t>12 0 01 S1050</t>
  </si>
  <si>
    <t>S1050</t>
  </si>
  <si>
    <t>03 0 05 16590</t>
  </si>
  <si>
    <t>20270</t>
  </si>
  <si>
    <t>Развитие молодежного общественного движения</t>
  </si>
  <si>
    <t>Основное мероприятие "Создание молодежного центра"</t>
  </si>
  <si>
    <t>10 0 05 00000</t>
  </si>
  <si>
    <t>10 0 05 20270</t>
  </si>
  <si>
    <t>07 3 01 72310</t>
  </si>
  <si>
    <t xml:space="preserve">от 25.06.2024 № 347     </t>
  </si>
  <si>
    <t>от 25.06.2024 № 347</t>
  </si>
  <si>
    <t xml:space="preserve">                                                                  от 25.06.2024 № 347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</si>
</sst>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Arial"/>
      <family val="2"/>
    </font>
    <font>
      <u val="single"/>
      <sz val="12"/>
      <name val="Times New Roman"/>
      <family val="1"/>
    </font>
    <font>
      <b/>
      <sz val="12"/>
      <name val="Arial"/>
      <family val="2"/>
    </font>
    <font>
      <b/>
      <i/>
      <sz val="13"/>
      <name val="Times New Roman"/>
      <family val="1"/>
    </font>
    <font>
      <b/>
      <i/>
      <sz val="13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Arial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97">
    <xf numFmtId="0" fontId="0" fillId="0" borderId="0" xfId="0" applyFont="1" applyAlignment="1">
      <alignment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173" fontId="11" fillId="0" borderId="11" xfId="53" applyNumberFormat="1" applyFont="1" applyFill="1" applyBorder="1" applyAlignment="1" applyProtection="1">
      <alignment horizontal="center" vertical="top"/>
      <protection hidden="1"/>
    </xf>
    <xf numFmtId="174" fontId="11" fillId="0" borderId="11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3" fontId="14" fillId="0" borderId="11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174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5" fillId="0" borderId="10" xfId="0" applyFont="1" applyFill="1" applyBorder="1" applyAlignment="1">
      <alignment vertical="top" wrapText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>
      <alignment vertical="top" wrapText="1"/>
    </xf>
    <xf numFmtId="0" fontId="15" fillId="32" borderId="11" xfId="0" applyFont="1" applyFill="1" applyBorder="1" applyAlignment="1">
      <alignment vertical="top" wrapText="1"/>
    </xf>
    <xf numFmtId="173" fontId="12" fillId="0" borderId="11" xfId="53" applyNumberFormat="1" applyFont="1" applyFill="1" applyBorder="1" applyAlignment="1" applyProtection="1">
      <alignment horizontal="center" vertical="top"/>
      <protection hidden="1"/>
    </xf>
    <xf numFmtId="0" fontId="11" fillId="32" borderId="15" xfId="53" applyNumberFormat="1" applyFont="1" applyFill="1" applyBorder="1" applyAlignment="1" applyProtection="1">
      <alignment vertical="top" wrapText="1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1" fillId="0" borderId="13" xfId="54" applyNumberFormat="1" applyFont="1" applyFill="1" applyBorder="1" applyAlignment="1" applyProtection="1">
      <alignment vertical="top" wrapText="1"/>
      <protection hidden="1"/>
    </xf>
    <xf numFmtId="49" fontId="14" fillId="0" borderId="11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49" fontId="11" fillId="0" borderId="11" xfId="0" applyNumberFormat="1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4" fillId="0" borderId="11" xfId="56" applyNumberFormat="1" applyFont="1" applyFill="1" applyBorder="1" applyAlignment="1" applyProtection="1">
      <alignment vertical="top" wrapText="1"/>
      <protection hidden="1"/>
    </xf>
    <xf numFmtId="0" fontId="11" fillId="0" borderId="11" xfId="56" applyNumberFormat="1" applyFont="1" applyFill="1" applyBorder="1" applyAlignment="1" applyProtection="1">
      <alignment vertical="top" wrapText="1"/>
      <protection hidden="1"/>
    </xf>
    <xf numFmtId="0" fontId="14" fillId="0" borderId="13" xfId="53" applyNumberFormat="1" applyFont="1" applyFill="1" applyBorder="1" applyAlignment="1" applyProtection="1">
      <alignment vertical="top" wrapText="1"/>
      <protection hidden="1"/>
    </xf>
    <xf numFmtId="183" fontId="10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Protection="1">
      <alignment/>
      <protection hidden="1"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49" fontId="11" fillId="0" borderId="0" xfId="53" applyNumberFormat="1" applyFont="1" applyFill="1" applyAlignment="1" applyProtection="1">
      <alignment horizontal="left" vertical="top"/>
      <protection hidden="1"/>
    </xf>
    <xf numFmtId="183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14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17" xfId="53" applyFont="1" applyFill="1" applyBorder="1" applyProtection="1">
      <alignment/>
      <protection hidden="1"/>
    </xf>
    <xf numFmtId="0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1" xfId="53" applyNumberFormat="1" applyFont="1" applyFill="1" applyBorder="1" applyAlignment="1" applyProtection="1">
      <alignment horizontal="center" vertical="top"/>
      <protection hidden="1"/>
    </xf>
    <xf numFmtId="49" fontId="11" fillId="0" borderId="11" xfId="53" applyNumberFormat="1" applyFont="1" applyFill="1" applyBorder="1" applyAlignment="1" applyProtection="1">
      <alignment horizontal="center" vertical="top" wrapText="1"/>
      <protection hidden="1"/>
    </xf>
    <xf numFmtId="176" fontId="14" fillId="0" borderId="10" xfId="53" applyNumberFormat="1" applyFont="1" applyFill="1" applyBorder="1" applyAlignment="1" applyProtection="1">
      <alignment wrapText="1"/>
      <protection hidden="1"/>
    </xf>
    <xf numFmtId="173" fontId="11" fillId="0" borderId="22" xfId="53" applyNumberFormat="1" applyFont="1" applyFill="1" applyBorder="1" applyAlignment="1" applyProtection="1">
      <alignment wrapText="1"/>
      <protection hidden="1"/>
    </xf>
    <xf numFmtId="173" fontId="14" fillId="0" borderId="13" xfId="53" applyNumberFormat="1" applyFont="1" applyFill="1" applyBorder="1" applyAlignment="1" applyProtection="1">
      <alignment horizontal="center" vertical="top"/>
      <protection hidden="1"/>
    </xf>
    <xf numFmtId="174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0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5" xfId="53" applyNumberFormat="1" applyFont="1" applyFill="1" applyBorder="1" applyAlignment="1" applyProtection="1">
      <alignment wrapText="1"/>
      <protection hidden="1"/>
    </xf>
    <xf numFmtId="176" fontId="11" fillId="0" borderId="22" xfId="53" applyNumberFormat="1" applyFont="1" applyFill="1" applyBorder="1" applyAlignment="1" applyProtection="1">
      <alignment wrapText="1"/>
      <protection hidden="1"/>
    </xf>
    <xf numFmtId="176" fontId="14" fillId="0" borderId="15" xfId="53" applyNumberFormat="1" applyFont="1" applyFill="1" applyBorder="1" applyAlignment="1" applyProtection="1">
      <alignment wrapText="1"/>
      <protection hidden="1"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5" fontId="11" fillId="0" borderId="22" xfId="53" applyNumberFormat="1" applyFont="1" applyFill="1" applyBorder="1" applyAlignment="1" applyProtection="1">
      <alignment wrapText="1"/>
      <protection hidden="1"/>
    </xf>
    <xf numFmtId="175" fontId="11" fillId="0" borderId="23" xfId="53" applyNumberFormat="1" applyFont="1" applyFill="1" applyBorder="1" applyAlignment="1" applyProtection="1">
      <alignment wrapText="1"/>
      <protection hidden="1"/>
    </xf>
    <xf numFmtId="176" fontId="11" fillId="0" borderId="16" xfId="53" applyNumberFormat="1" applyFont="1" applyFill="1" applyBorder="1" applyAlignment="1" applyProtection="1">
      <alignment wrapText="1"/>
      <protection hidden="1"/>
    </xf>
    <xf numFmtId="0" fontId="11" fillId="0" borderId="23" xfId="53" applyNumberFormat="1" applyFont="1" applyFill="1" applyBorder="1" applyAlignment="1" applyProtection="1">
      <alignment wrapText="1"/>
      <protection hidden="1"/>
    </xf>
    <xf numFmtId="173" fontId="11" fillId="0" borderId="15" xfId="53" applyNumberFormat="1" applyFont="1" applyFill="1" applyBorder="1" applyAlignment="1" applyProtection="1">
      <alignment wrapText="1"/>
      <protection hidden="1"/>
    </xf>
    <xf numFmtId="176" fontId="11" fillId="0" borderId="24" xfId="53" applyNumberFormat="1" applyFont="1" applyFill="1" applyBorder="1" applyAlignment="1" applyProtection="1">
      <alignment wrapText="1"/>
      <protection hidden="1"/>
    </xf>
    <xf numFmtId="175" fontId="11" fillId="0" borderId="0" xfId="53" applyNumberFormat="1" applyFont="1" applyFill="1" applyBorder="1" applyAlignment="1" applyProtection="1">
      <alignment wrapText="1"/>
      <protection hidden="1"/>
    </xf>
    <xf numFmtId="0" fontId="11" fillId="0" borderId="11" xfId="53" applyFont="1" applyFill="1" applyBorder="1" applyAlignment="1">
      <alignment vertical="top" wrapText="1"/>
      <protection/>
    </xf>
    <xf numFmtId="175" fontId="11" fillId="0" borderId="0" xfId="53" applyNumberFormat="1" applyFont="1" applyFill="1" applyAlignment="1" applyProtection="1">
      <alignment wrapText="1"/>
      <protection hidden="1"/>
    </xf>
    <xf numFmtId="176" fontId="14" fillId="0" borderId="23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Alignment="1" applyProtection="1">
      <alignment wrapText="1"/>
      <protection hidden="1"/>
    </xf>
    <xf numFmtId="0" fontId="11" fillId="0" borderId="15" xfId="53" applyNumberFormat="1" applyFont="1" applyFill="1" applyBorder="1" applyAlignment="1" applyProtection="1">
      <alignment wrapText="1"/>
      <protection hidden="1"/>
    </xf>
    <xf numFmtId="176" fontId="11" fillId="0" borderId="23" xfId="53" applyNumberFormat="1" applyFont="1" applyFill="1" applyBorder="1" applyAlignment="1" applyProtection="1">
      <alignment wrapText="1"/>
      <protection hidden="1"/>
    </xf>
    <xf numFmtId="175" fontId="11" fillId="0" borderId="15" xfId="53" applyNumberFormat="1" applyFont="1" applyFill="1" applyBorder="1" applyAlignment="1" applyProtection="1">
      <alignment wrapText="1"/>
      <protection hidden="1"/>
    </xf>
    <xf numFmtId="0" fontId="11" fillId="0" borderId="11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 hidden="1"/>
    </xf>
    <xf numFmtId="0" fontId="14" fillId="0" borderId="11" xfId="53" applyNumberFormat="1" applyFont="1" applyFill="1" applyBorder="1" applyAlignment="1" applyProtection="1">
      <alignment vertical="top" wrapText="1"/>
      <protection hidden="1"/>
    </xf>
    <xf numFmtId="49" fontId="12" fillId="0" borderId="13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176" fontId="18" fillId="0" borderId="10" xfId="53" applyNumberFormat="1" applyFont="1" applyFill="1" applyBorder="1" applyAlignment="1" applyProtection="1">
      <alignment wrapText="1"/>
      <protection hidden="1"/>
    </xf>
    <xf numFmtId="173" fontId="18" fillId="0" borderId="22" xfId="53" applyNumberFormat="1" applyFont="1" applyFill="1" applyBorder="1" applyAlignment="1" applyProtection="1">
      <alignment wrapText="1"/>
      <protection hidden="1"/>
    </xf>
    <xf numFmtId="173" fontId="18" fillId="0" borderId="13" xfId="53" applyNumberFormat="1" applyFont="1" applyFill="1" applyBorder="1" applyAlignment="1" applyProtection="1">
      <alignment horizontal="center" vertical="top"/>
      <protection hidden="1"/>
    </xf>
    <xf numFmtId="174" fontId="18" fillId="0" borderId="13" xfId="53" applyNumberFormat="1" applyFont="1" applyFill="1" applyBorder="1" applyAlignment="1" applyProtection="1">
      <alignment horizontal="center" vertical="top"/>
      <protection hidden="1"/>
    </xf>
    <xf numFmtId="49" fontId="18" fillId="0" borderId="13" xfId="53" applyNumberFormat="1" applyFont="1" applyFill="1" applyBorder="1" applyAlignment="1" applyProtection="1">
      <alignment horizontal="center" vertical="top"/>
      <protection hidden="1"/>
    </xf>
    <xf numFmtId="49" fontId="18" fillId="0" borderId="14" xfId="53" applyNumberFormat="1" applyFont="1" applyFill="1" applyBorder="1" applyAlignment="1" applyProtection="1">
      <alignment horizontal="center" vertical="top"/>
      <protection hidden="1"/>
    </xf>
    <xf numFmtId="176" fontId="18" fillId="0" borderId="15" xfId="53" applyNumberFormat="1" applyFont="1" applyFill="1" applyBorder="1" applyAlignment="1" applyProtection="1">
      <alignment wrapText="1"/>
      <protection hidden="1"/>
    </xf>
    <xf numFmtId="176" fontId="18" fillId="0" borderId="22" xfId="53" applyNumberFormat="1" applyFont="1" applyFill="1" applyBorder="1" applyAlignment="1" applyProtection="1">
      <alignment wrapText="1"/>
      <protection hidden="1"/>
    </xf>
    <xf numFmtId="175" fontId="18" fillId="0" borderId="0" xfId="53" applyNumberFormat="1" applyFont="1" applyFill="1" applyAlignment="1" applyProtection="1">
      <alignment wrapText="1"/>
      <protection hidden="1"/>
    </xf>
    <xf numFmtId="0" fontId="18" fillId="0" borderId="23" xfId="53" applyNumberFormat="1" applyFont="1" applyFill="1" applyBorder="1" applyAlignment="1" applyProtection="1">
      <alignment wrapText="1"/>
      <protection hidden="1"/>
    </xf>
    <xf numFmtId="173" fontId="18" fillId="0" borderId="11" xfId="53" applyNumberFormat="1" applyFont="1" applyFill="1" applyBorder="1" applyAlignment="1" applyProtection="1">
      <alignment horizontal="center" vertical="top"/>
      <protection hidden="1"/>
    </xf>
    <xf numFmtId="174" fontId="18" fillId="0" borderId="14" xfId="53" applyNumberFormat="1" applyFont="1" applyFill="1" applyBorder="1" applyAlignment="1" applyProtection="1">
      <alignment horizontal="center" vertical="top"/>
      <protection hidden="1"/>
    </xf>
    <xf numFmtId="174" fontId="18" fillId="0" borderId="11" xfId="53" applyNumberFormat="1" applyFont="1" applyFill="1" applyBorder="1" applyAlignment="1" applyProtection="1">
      <alignment horizontal="center" vertical="top"/>
      <protection hidden="1"/>
    </xf>
    <xf numFmtId="0" fontId="18" fillId="0" borderId="11" xfId="53" applyNumberFormat="1" applyFont="1" applyFill="1" applyBorder="1" applyAlignment="1" applyProtection="1">
      <alignment vertical="top" wrapText="1"/>
      <protection hidden="1"/>
    </xf>
    <xf numFmtId="175" fontId="18" fillId="0" borderId="22" xfId="53" applyNumberFormat="1" applyFont="1" applyFill="1" applyBorder="1" applyAlignment="1" applyProtection="1">
      <alignment wrapText="1"/>
      <protection hidden="1"/>
    </xf>
    <xf numFmtId="175" fontId="18" fillId="0" borderId="15" xfId="53" applyNumberFormat="1" applyFont="1" applyFill="1" applyBorder="1" applyAlignment="1" applyProtection="1">
      <alignment wrapText="1"/>
      <protection hidden="1"/>
    </xf>
    <xf numFmtId="173" fontId="18" fillId="0" borderId="12" xfId="53" applyNumberFormat="1" applyFont="1" applyFill="1" applyBorder="1" applyAlignment="1" applyProtection="1">
      <alignment horizontal="center" vertical="top"/>
      <protection hidden="1"/>
    </xf>
    <xf numFmtId="176" fontId="18" fillId="0" borderId="16" xfId="53" applyNumberFormat="1" applyFont="1" applyFill="1" applyBorder="1" applyAlignment="1" applyProtection="1">
      <alignment wrapText="1"/>
      <protection hidden="1"/>
    </xf>
    <xf numFmtId="0" fontId="18" fillId="0" borderId="15" xfId="53" applyNumberFormat="1" applyFont="1" applyFill="1" applyBorder="1" applyAlignment="1" applyProtection="1">
      <alignment wrapText="1"/>
      <protection hidden="1"/>
    </xf>
    <xf numFmtId="173" fontId="18" fillId="0" borderId="15" xfId="53" applyNumberFormat="1" applyFont="1" applyFill="1" applyBorder="1" applyAlignment="1" applyProtection="1">
      <alignment wrapText="1"/>
      <protection hidden="1"/>
    </xf>
    <xf numFmtId="174" fontId="18" fillId="0" borderId="12" xfId="53" applyNumberFormat="1" applyFont="1" applyFill="1" applyBorder="1" applyAlignment="1" applyProtection="1">
      <alignment horizontal="center" vertical="top"/>
      <protection hidden="1"/>
    </xf>
    <xf numFmtId="176" fontId="18" fillId="0" borderId="24" xfId="53" applyNumberFormat="1" applyFont="1" applyFill="1" applyBorder="1" applyAlignment="1" applyProtection="1">
      <alignment wrapText="1"/>
      <protection hidden="1"/>
    </xf>
    <xf numFmtId="176" fontId="12" fillId="0" borderId="15" xfId="53" applyNumberFormat="1" applyFont="1" applyFill="1" applyBorder="1" applyAlignment="1" applyProtection="1">
      <alignment wrapText="1"/>
      <protection hidden="1"/>
    </xf>
    <xf numFmtId="176" fontId="18" fillId="0" borderId="23" xfId="53" applyNumberFormat="1" applyFont="1" applyFill="1" applyBorder="1" applyAlignment="1" applyProtection="1">
      <alignment wrapText="1"/>
      <protection hidden="1"/>
    </xf>
    <xf numFmtId="175" fontId="18" fillId="0" borderId="0" xfId="53" applyNumberFormat="1" applyFont="1" applyFill="1" applyBorder="1" applyAlignment="1" applyProtection="1">
      <alignment wrapText="1"/>
      <protection hidden="1"/>
    </xf>
    <xf numFmtId="0" fontId="11" fillId="0" borderId="11" xfId="54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 applyFill="1" applyAlignment="1">
      <alignment horizontal="left" vertical="top"/>
      <protection/>
    </xf>
    <xf numFmtId="0" fontId="16" fillId="0" borderId="0" xfId="53" applyFont="1" applyFill="1">
      <alignment/>
      <protection/>
    </xf>
    <xf numFmtId="0" fontId="11" fillId="0" borderId="10" xfId="53" applyNumberFormat="1" applyFont="1" applyFill="1" applyBorder="1" applyAlignment="1" applyProtection="1">
      <alignment wrapText="1"/>
      <protection hidden="1"/>
    </xf>
    <xf numFmtId="0" fontId="19" fillId="0" borderId="0" xfId="53" applyFont="1" applyFill="1">
      <alignment/>
      <protection/>
    </xf>
    <xf numFmtId="176" fontId="12" fillId="0" borderId="22" xfId="53" applyNumberFormat="1" applyFont="1" applyFill="1" applyBorder="1" applyAlignment="1" applyProtection="1">
      <alignment wrapText="1"/>
      <protection hidden="1"/>
    </xf>
    <xf numFmtId="175" fontId="12" fillId="0" borderId="22" xfId="53" applyNumberFormat="1" applyFont="1" applyFill="1" applyBorder="1" applyAlignment="1" applyProtection="1">
      <alignment wrapText="1"/>
      <protection hidden="1"/>
    </xf>
    <xf numFmtId="173" fontId="12" fillId="0" borderId="22" xfId="53" applyNumberFormat="1" applyFont="1" applyFill="1" applyBorder="1" applyAlignment="1" applyProtection="1">
      <alignment wrapText="1"/>
      <protection hidden="1"/>
    </xf>
    <xf numFmtId="0" fontId="11" fillId="0" borderId="13" xfId="53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/>
    </xf>
    <xf numFmtId="0" fontId="15" fillId="0" borderId="0" xfId="0" applyFont="1" applyAlignment="1">
      <alignment horizontal="right"/>
    </xf>
    <xf numFmtId="0" fontId="11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vertical="top" wrapText="1"/>
    </xf>
    <xf numFmtId="183" fontId="3" fillId="0" borderId="11" xfId="53" applyNumberFormat="1" applyFont="1" applyFill="1" applyBorder="1" applyAlignment="1" applyProtection="1">
      <alignment horizontal="center" vertical="top"/>
      <protection hidden="1"/>
    </xf>
    <xf numFmtId="183" fontId="20" fillId="0" borderId="11" xfId="53" applyNumberFormat="1" applyFont="1" applyFill="1" applyBorder="1" applyAlignment="1" applyProtection="1">
      <alignment horizontal="center" vertical="top"/>
      <protection hidden="1"/>
    </xf>
    <xf numFmtId="183" fontId="4" fillId="0" borderId="11" xfId="53" applyNumberFormat="1" applyFont="1" applyFill="1" applyBorder="1" applyAlignment="1" applyProtection="1">
      <alignment horizontal="center" vertical="top"/>
      <protection hidden="1"/>
    </xf>
    <xf numFmtId="183" fontId="4" fillId="0" borderId="11" xfId="53" applyNumberFormat="1" applyFont="1" applyFill="1" applyBorder="1" applyAlignment="1">
      <alignment horizontal="center" vertical="top"/>
      <protection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20" fillId="0" borderId="12" xfId="53" applyNumberFormat="1" applyFont="1" applyFill="1" applyBorder="1" applyAlignment="1" applyProtection="1">
      <alignment horizontal="center" vertical="top"/>
      <protection hidden="1"/>
    </xf>
    <xf numFmtId="176" fontId="18" fillId="0" borderId="0" xfId="53" applyNumberFormat="1" applyFont="1" applyFill="1" applyBorder="1" applyAlignment="1" applyProtection="1">
      <alignment wrapText="1"/>
      <protection hidden="1"/>
    </xf>
    <xf numFmtId="0" fontId="11" fillId="0" borderId="11" xfId="0" applyNumberFormat="1" applyFont="1" applyFill="1" applyBorder="1" applyAlignment="1">
      <alignment vertical="top" wrapText="1"/>
    </xf>
    <xf numFmtId="183" fontId="4" fillId="0" borderId="12" xfId="53" applyNumberFormat="1" applyFont="1" applyFill="1" applyBorder="1" applyAlignment="1">
      <alignment horizontal="center" vertical="top"/>
      <protection/>
    </xf>
    <xf numFmtId="183" fontId="11" fillId="0" borderId="11" xfId="56" applyNumberFormat="1" applyFont="1" applyFill="1" applyBorder="1" applyAlignment="1" applyProtection="1">
      <alignment horizontal="right" vertical="center"/>
      <protection hidden="1"/>
    </xf>
    <xf numFmtId="183" fontId="14" fillId="0" borderId="11" xfId="56" applyNumberFormat="1" applyFont="1" applyFill="1" applyBorder="1" applyAlignment="1" applyProtection="1">
      <alignment horizontal="right" vertical="center"/>
      <protection hidden="1"/>
    </xf>
    <xf numFmtId="0" fontId="11" fillId="0" borderId="12" xfId="0" applyFont="1" applyFill="1" applyBorder="1" applyAlignment="1">
      <alignment vertical="top" wrapText="1"/>
    </xf>
    <xf numFmtId="0" fontId="11" fillId="0" borderId="15" xfId="53" applyNumberFormat="1" applyFont="1" applyFill="1" applyBorder="1" applyAlignment="1" applyProtection="1">
      <alignment vertical="top" wrapText="1"/>
      <protection hidden="1"/>
    </xf>
    <xf numFmtId="0" fontId="11" fillId="0" borderId="14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183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22" xfId="53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11" xfId="0" applyFont="1" applyBorder="1" applyAlignment="1">
      <alignment/>
    </xf>
    <xf numFmtId="0" fontId="21" fillId="0" borderId="11" xfId="0" applyFont="1" applyBorder="1" applyAlignment="1">
      <alignment/>
    </xf>
    <xf numFmtId="49" fontId="21" fillId="0" borderId="11" xfId="0" applyNumberFormat="1" applyFont="1" applyBorder="1" applyAlignment="1">
      <alignment/>
    </xf>
    <xf numFmtId="49" fontId="15" fillId="0" borderId="11" xfId="0" applyNumberFormat="1" applyFont="1" applyBorder="1" applyAlignment="1">
      <alignment/>
    </xf>
    <xf numFmtId="183" fontId="15" fillId="0" borderId="11" xfId="0" applyNumberFormat="1" applyFont="1" applyBorder="1" applyAlignment="1">
      <alignment/>
    </xf>
    <xf numFmtId="183" fontId="21" fillId="0" borderId="11" xfId="0" applyNumberFormat="1" applyFont="1" applyBorder="1" applyAlignment="1">
      <alignment/>
    </xf>
    <xf numFmtId="0" fontId="22" fillId="0" borderId="0" xfId="0" applyFont="1" applyAlignment="1">
      <alignment horizontal="justify" vertical="top"/>
    </xf>
    <xf numFmtId="0" fontId="22" fillId="0" borderId="0" xfId="0" applyFont="1" applyAlignment="1">
      <alignment/>
    </xf>
    <xf numFmtId="183" fontId="8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49" fontId="22" fillId="0" borderId="0" xfId="0" applyNumberFormat="1" applyFont="1" applyAlignment="1">
      <alignment/>
    </xf>
    <xf numFmtId="183" fontId="22" fillId="0" borderId="0" xfId="0" applyNumberFormat="1" applyFont="1" applyAlignment="1">
      <alignment/>
    </xf>
    <xf numFmtId="0" fontId="15" fillId="0" borderId="11" xfId="0" applyFont="1" applyFill="1" applyBorder="1" applyAlignment="1">
      <alignment/>
    </xf>
    <xf numFmtId="0" fontId="21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183" fontId="23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/>
    </xf>
    <xf numFmtId="49" fontId="15" fillId="0" borderId="11" xfId="0" applyNumberFormat="1" applyFont="1" applyBorder="1" applyAlignment="1">
      <alignment/>
    </xf>
    <xf numFmtId="183" fontId="15" fillId="0" borderId="11" xfId="0" applyNumberFormat="1" applyFont="1" applyBorder="1" applyAlignment="1">
      <alignment/>
    </xf>
    <xf numFmtId="0" fontId="4" fillId="0" borderId="0" xfId="53" applyNumberFormat="1" applyFont="1" applyFill="1" applyAlignment="1" applyProtection="1">
      <alignment wrapText="1"/>
      <protection hidden="1"/>
    </xf>
    <xf numFmtId="0" fontId="11" fillId="0" borderId="25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justify" vertical="top"/>
      <protection/>
    </xf>
    <xf numFmtId="49" fontId="10" fillId="0" borderId="0" xfId="53" applyNumberFormat="1" applyFont="1" applyFill="1" applyAlignment="1">
      <alignment horizontal="center" vertical="top"/>
      <protection/>
    </xf>
    <xf numFmtId="183" fontId="11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Alignment="1">
      <alignment horizontal="justify" vertical="top"/>
      <protection/>
    </xf>
    <xf numFmtId="1" fontId="11" fillId="0" borderId="11" xfId="53" applyNumberFormat="1" applyFont="1" applyFill="1" applyBorder="1" applyAlignment="1">
      <alignment horizontal="center" vertical="top"/>
      <protection/>
    </xf>
    <xf numFmtId="0" fontId="11" fillId="0" borderId="20" xfId="53" applyNumberFormat="1" applyFont="1" applyFill="1" applyBorder="1" applyAlignment="1" applyProtection="1">
      <alignment vertical="top" wrapText="1"/>
      <protection hidden="1"/>
    </xf>
    <xf numFmtId="183" fontId="22" fillId="0" borderId="0" xfId="0" applyNumberFormat="1" applyFont="1" applyAlignment="1">
      <alignment horizontal="right"/>
    </xf>
    <xf numFmtId="0" fontId="15" fillId="0" borderId="11" xfId="0" applyFont="1" applyFill="1" applyBorder="1" applyAlignment="1">
      <alignment/>
    </xf>
    <xf numFmtId="49" fontId="15" fillId="0" borderId="11" xfId="0" applyNumberFormat="1" applyFont="1" applyFill="1" applyBorder="1" applyAlignment="1">
      <alignment/>
    </xf>
    <xf numFmtId="0" fontId="15" fillId="0" borderId="11" xfId="0" applyFont="1" applyBorder="1" applyAlignment="1">
      <alignment horizontal="right"/>
    </xf>
    <xf numFmtId="49" fontId="15" fillId="0" borderId="11" xfId="0" applyNumberFormat="1" applyFont="1" applyBorder="1" applyAlignment="1">
      <alignment horizontal="right"/>
    </xf>
    <xf numFmtId="49" fontId="15" fillId="0" borderId="11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13" xfId="53" applyNumberFormat="1" applyFont="1" applyFill="1" applyBorder="1" applyAlignment="1" applyProtection="1">
      <alignment vertical="top" wrapText="1"/>
      <protection hidden="1"/>
    </xf>
    <xf numFmtId="0" fontId="14" fillId="0" borderId="11" xfId="53" applyFont="1" applyFill="1" applyBorder="1" applyAlignment="1">
      <alignment horizontal="justify" vertical="top"/>
      <protection/>
    </xf>
    <xf numFmtId="0" fontId="14" fillId="0" borderId="11" xfId="53" applyFont="1" applyFill="1" applyBorder="1" applyAlignment="1">
      <alignment horizontal="center" vertical="top"/>
      <protection/>
    </xf>
    <xf numFmtId="49" fontId="14" fillId="0" borderId="13" xfId="53" applyNumberFormat="1" applyFont="1" applyFill="1" applyBorder="1" applyAlignment="1">
      <alignment horizontal="center" vertical="top"/>
      <protection/>
    </xf>
    <xf numFmtId="49" fontId="14" fillId="0" borderId="14" xfId="53" applyNumberFormat="1" applyFont="1" applyFill="1" applyBorder="1" applyAlignment="1">
      <alignment horizontal="center" vertical="top"/>
      <protection/>
    </xf>
    <xf numFmtId="49" fontId="14" fillId="0" borderId="12" xfId="53" applyNumberFormat="1" applyFont="1" applyFill="1" applyBorder="1" applyAlignment="1">
      <alignment horizontal="center" vertical="top"/>
      <protection/>
    </xf>
    <xf numFmtId="183" fontId="3" fillId="0" borderId="11" xfId="53" applyNumberFormat="1" applyFont="1" applyFill="1" applyBorder="1" applyAlignment="1">
      <alignment horizontal="right" vertical="top"/>
      <protection/>
    </xf>
    <xf numFmtId="183" fontId="3" fillId="0" borderId="11" xfId="53" applyNumberFormat="1" applyFont="1" applyFill="1" applyBorder="1" applyAlignment="1">
      <alignment horizontal="center" vertical="top"/>
      <protection/>
    </xf>
    <xf numFmtId="176" fontId="24" fillId="0" borderId="15" xfId="53" applyNumberFormat="1" applyFont="1" applyFill="1" applyBorder="1" applyAlignment="1" applyProtection="1">
      <alignment wrapText="1"/>
      <protection hidden="1"/>
    </xf>
    <xf numFmtId="176" fontId="24" fillId="0" borderId="22" xfId="53" applyNumberFormat="1" applyFont="1" applyFill="1" applyBorder="1" applyAlignment="1" applyProtection="1">
      <alignment wrapText="1"/>
      <protection hidden="1"/>
    </xf>
    <xf numFmtId="173" fontId="24" fillId="0" borderId="22" xfId="53" applyNumberFormat="1" applyFont="1" applyFill="1" applyBorder="1" applyAlignment="1" applyProtection="1">
      <alignment wrapText="1"/>
      <protection hidden="1"/>
    </xf>
    <xf numFmtId="0" fontId="27" fillId="0" borderId="0" xfId="53" applyFont="1" applyFill="1">
      <alignment/>
      <protection/>
    </xf>
    <xf numFmtId="175" fontId="18" fillId="0" borderId="23" xfId="53" applyNumberFormat="1" applyFont="1" applyFill="1" applyBorder="1" applyAlignment="1" applyProtection="1">
      <alignment wrapText="1"/>
      <protection hidden="1"/>
    </xf>
    <xf numFmtId="0" fontId="21" fillId="0" borderId="11" xfId="0" applyFont="1" applyFill="1" applyBorder="1" applyAlignment="1">
      <alignment/>
    </xf>
    <xf numFmtId="0" fontId="22" fillId="0" borderId="0" xfId="0" applyFont="1" applyFill="1" applyAlignment="1">
      <alignment horizontal="justify" vertical="top"/>
    </xf>
    <xf numFmtId="49" fontId="8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0" fontId="15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49" fontId="25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0" fontId="11" fillId="0" borderId="0" xfId="0" applyFont="1" applyFill="1" applyAlignment="1">
      <alignment vertical="top"/>
    </xf>
    <xf numFmtId="173" fontId="12" fillId="0" borderId="12" xfId="53" applyNumberFormat="1" applyFont="1" applyFill="1" applyBorder="1" applyAlignment="1" applyProtection="1">
      <alignment horizontal="center" vertical="top"/>
      <protection hidden="1"/>
    </xf>
    <xf numFmtId="183" fontId="12" fillId="0" borderId="12" xfId="53" applyNumberFormat="1" applyFont="1" applyFill="1" applyBorder="1" applyAlignment="1" applyProtection="1">
      <alignment horizontal="center" vertical="top"/>
      <protection hidden="1"/>
    </xf>
    <xf numFmtId="175" fontId="12" fillId="0" borderId="15" xfId="53" applyNumberFormat="1" applyFont="1" applyFill="1" applyBorder="1" applyAlignment="1" applyProtection="1">
      <alignment wrapText="1"/>
      <protection hidden="1"/>
    </xf>
    <xf numFmtId="0" fontId="12" fillId="0" borderId="11" xfId="53" applyFont="1" applyFill="1" applyBorder="1" applyAlignment="1">
      <alignment vertical="top" wrapText="1"/>
      <protection/>
    </xf>
    <xf numFmtId="174" fontId="12" fillId="0" borderId="14" xfId="53" applyNumberFormat="1" applyFont="1" applyFill="1" applyBorder="1" applyAlignment="1" applyProtection="1">
      <alignment horizontal="center" vertical="top"/>
      <protection hidden="1"/>
    </xf>
    <xf numFmtId="183" fontId="18" fillId="0" borderId="11" xfId="53" applyNumberFormat="1" applyFont="1" applyFill="1" applyBorder="1" applyAlignment="1" applyProtection="1">
      <alignment horizontal="center" vertical="top"/>
      <protection hidden="1"/>
    </xf>
    <xf numFmtId="176" fontId="14" fillId="0" borderId="0" xfId="53" applyNumberFormat="1" applyFont="1" applyFill="1" applyBorder="1" applyAlignment="1" applyProtection="1">
      <alignment wrapText="1"/>
      <protection hidden="1"/>
    </xf>
    <xf numFmtId="176" fontId="14" fillId="0" borderId="24" xfId="53" applyNumberFormat="1" applyFont="1" applyFill="1" applyBorder="1" applyAlignment="1" applyProtection="1">
      <alignment wrapText="1"/>
      <protection hidden="1"/>
    </xf>
    <xf numFmtId="173" fontId="14" fillId="0" borderId="22" xfId="53" applyNumberFormat="1" applyFont="1" applyFill="1" applyBorder="1" applyAlignment="1" applyProtection="1">
      <alignment wrapText="1"/>
      <protection hidden="1"/>
    </xf>
    <xf numFmtId="0" fontId="29" fillId="0" borderId="0" xfId="53" applyFont="1" applyFill="1">
      <alignment/>
      <protection/>
    </xf>
    <xf numFmtId="0" fontId="18" fillId="0" borderId="11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vertical="top" wrapText="1"/>
    </xf>
    <xf numFmtId="176" fontId="18" fillId="0" borderId="0" xfId="53" applyNumberFormat="1" applyFont="1" applyFill="1" applyAlignment="1" applyProtection="1">
      <alignment wrapText="1"/>
      <protection hidden="1"/>
    </xf>
    <xf numFmtId="0" fontId="18" fillId="0" borderId="11" xfId="0" applyFont="1" applyFill="1" applyBorder="1" applyAlignment="1">
      <alignment vertical="top" wrapText="1"/>
    </xf>
    <xf numFmtId="176" fontId="14" fillId="0" borderId="22" xfId="53" applyNumberFormat="1" applyFont="1" applyFill="1" applyBorder="1" applyAlignment="1" applyProtection="1">
      <alignment wrapText="1"/>
      <protection hidden="1"/>
    </xf>
    <xf numFmtId="49" fontId="18" fillId="0" borderId="11" xfId="0" applyNumberFormat="1" applyFont="1" applyFill="1" applyBorder="1" applyAlignment="1">
      <alignment vertical="top" wrapText="1"/>
    </xf>
    <xf numFmtId="176" fontId="30" fillId="0" borderId="10" xfId="53" applyNumberFormat="1" applyFont="1" applyFill="1" applyBorder="1" applyAlignment="1" applyProtection="1">
      <alignment wrapText="1"/>
      <protection hidden="1"/>
    </xf>
    <xf numFmtId="173" fontId="30" fillId="0" borderId="22" xfId="53" applyNumberFormat="1" applyFont="1" applyFill="1" applyBorder="1" applyAlignment="1" applyProtection="1">
      <alignment wrapText="1"/>
      <protection hidden="1"/>
    </xf>
    <xf numFmtId="173" fontId="30" fillId="0" borderId="13" xfId="53" applyNumberFormat="1" applyFont="1" applyFill="1" applyBorder="1" applyAlignment="1" applyProtection="1">
      <alignment horizontal="center" vertical="top"/>
      <protection hidden="1"/>
    </xf>
    <xf numFmtId="174" fontId="30" fillId="0" borderId="13" xfId="53" applyNumberFormat="1" applyFont="1" applyFill="1" applyBorder="1" applyAlignment="1" applyProtection="1">
      <alignment horizontal="center" vertical="top"/>
      <protection hidden="1"/>
    </xf>
    <xf numFmtId="49" fontId="30" fillId="0" borderId="13" xfId="53" applyNumberFormat="1" applyFont="1" applyFill="1" applyBorder="1" applyAlignment="1" applyProtection="1">
      <alignment horizontal="center" vertical="top"/>
      <protection hidden="1"/>
    </xf>
    <xf numFmtId="49" fontId="30" fillId="0" borderId="14" xfId="53" applyNumberFormat="1" applyFont="1" applyFill="1" applyBorder="1" applyAlignment="1" applyProtection="1">
      <alignment horizontal="center" vertical="top"/>
      <protection hidden="1"/>
    </xf>
    <xf numFmtId="0" fontId="31" fillId="0" borderId="0" xfId="53" applyFont="1" applyFill="1">
      <alignment/>
      <protection/>
    </xf>
    <xf numFmtId="176" fontId="30" fillId="0" borderId="15" xfId="53" applyNumberFormat="1" applyFont="1" applyFill="1" applyBorder="1" applyAlignment="1" applyProtection="1">
      <alignment wrapText="1"/>
      <protection hidden="1"/>
    </xf>
    <xf numFmtId="176" fontId="30" fillId="0" borderId="22" xfId="53" applyNumberFormat="1" applyFont="1" applyFill="1" applyBorder="1" applyAlignment="1" applyProtection="1">
      <alignment wrapText="1"/>
      <protection hidden="1"/>
    </xf>
    <xf numFmtId="176" fontId="30" fillId="0" borderId="24" xfId="53" applyNumberFormat="1" applyFont="1" applyFill="1" applyBorder="1" applyAlignment="1" applyProtection="1">
      <alignment wrapText="1"/>
      <protection hidden="1"/>
    </xf>
    <xf numFmtId="175" fontId="30" fillId="0" borderId="0" xfId="53" applyNumberFormat="1" applyFont="1" applyFill="1" applyBorder="1" applyAlignment="1" applyProtection="1">
      <alignment wrapText="1"/>
      <protection hidden="1"/>
    </xf>
    <xf numFmtId="0" fontId="30" fillId="0" borderId="23" xfId="53" applyNumberFormat="1" applyFont="1" applyFill="1" applyBorder="1" applyAlignment="1" applyProtection="1">
      <alignment wrapText="1"/>
      <protection hidden="1"/>
    </xf>
    <xf numFmtId="183" fontId="30" fillId="0" borderId="11" xfId="53" applyNumberFormat="1" applyFont="1" applyFill="1" applyBorder="1" applyAlignment="1" applyProtection="1">
      <alignment horizontal="center" vertical="top"/>
      <protection hidden="1"/>
    </xf>
    <xf numFmtId="174" fontId="30" fillId="0" borderId="14" xfId="53" applyNumberFormat="1" applyFont="1" applyFill="1" applyBorder="1" applyAlignment="1" applyProtection="1">
      <alignment horizontal="center" vertical="top"/>
      <protection hidden="1"/>
    </xf>
    <xf numFmtId="173" fontId="30" fillId="0" borderId="11" xfId="53" applyNumberFormat="1" applyFont="1" applyFill="1" applyBorder="1" applyAlignment="1" applyProtection="1">
      <alignment horizontal="center" vertical="top"/>
      <protection hidden="1"/>
    </xf>
    <xf numFmtId="183" fontId="30" fillId="0" borderId="12" xfId="53" applyNumberFormat="1" applyFont="1" applyFill="1" applyBorder="1" applyAlignment="1" applyProtection="1">
      <alignment horizontal="center" vertical="top"/>
      <protection hidden="1"/>
    </xf>
    <xf numFmtId="0" fontId="18" fillId="0" borderId="11" xfId="56" applyNumberFormat="1" applyFont="1" applyFill="1" applyBorder="1" applyAlignment="1" applyProtection="1">
      <alignment vertical="top" wrapText="1"/>
      <protection hidden="1"/>
    </xf>
    <xf numFmtId="0" fontId="18" fillId="0" borderId="10" xfId="53" applyNumberFormat="1" applyFont="1" applyFill="1" applyBorder="1" applyAlignment="1" applyProtection="1">
      <alignment wrapText="1"/>
      <protection hidden="1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  <xf numFmtId="174" fontId="14" fillId="0" borderId="11" xfId="53" applyNumberFormat="1" applyFont="1" applyFill="1" applyBorder="1" applyAlignment="1" applyProtection="1">
      <alignment horizontal="center" vertical="top"/>
      <protection hidden="1"/>
    </xf>
    <xf numFmtId="175" fontId="14" fillId="0" borderId="22" xfId="53" applyNumberFormat="1" applyFont="1" applyFill="1" applyBorder="1" applyAlignment="1" applyProtection="1">
      <alignment wrapText="1"/>
      <protection hidden="1"/>
    </xf>
    <xf numFmtId="173" fontId="18" fillId="0" borderId="14" xfId="53" applyNumberFormat="1" applyFont="1" applyFill="1" applyBorder="1" applyAlignment="1" applyProtection="1">
      <alignment horizontal="center" vertical="top"/>
      <protection hidden="1"/>
    </xf>
    <xf numFmtId="175" fontId="14" fillId="0" borderId="15" xfId="53" applyNumberFormat="1" applyFont="1" applyFill="1" applyBorder="1" applyAlignment="1" applyProtection="1">
      <alignment wrapText="1"/>
      <protection hidden="1"/>
    </xf>
    <xf numFmtId="173" fontId="14" fillId="0" borderId="12" xfId="53" applyNumberFormat="1" applyFont="1" applyFill="1" applyBorder="1" applyAlignment="1" applyProtection="1">
      <alignment horizontal="center" vertical="top"/>
      <protection hidden="1"/>
    </xf>
    <xf numFmtId="174" fontId="14" fillId="0" borderId="14" xfId="53" applyNumberFormat="1" applyFont="1" applyFill="1" applyBorder="1" applyAlignment="1" applyProtection="1">
      <alignment horizontal="center" vertical="top"/>
      <protection hidden="1"/>
    </xf>
    <xf numFmtId="0" fontId="14" fillId="0" borderId="11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center" wrapText="1"/>
    </xf>
    <xf numFmtId="49" fontId="11" fillId="0" borderId="11" xfId="53" applyNumberFormat="1" applyFont="1" applyFill="1" applyBorder="1" applyAlignment="1" applyProtection="1">
      <alignment horizontal="center" vertical="top"/>
      <protection hidden="1"/>
    </xf>
    <xf numFmtId="49" fontId="18" fillId="0" borderId="11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NumberFormat="1" applyFont="1" applyFill="1" applyBorder="1" applyAlignment="1" applyProtection="1">
      <alignment vertical="top" wrapText="1"/>
      <protection hidden="1"/>
    </xf>
    <xf numFmtId="0" fontId="24" fillId="0" borderId="11" xfId="53" applyNumberFormat="1" applyFont="1" applyFill="1" applyBorder="1" applyAlignment="1" applyProtection="1">
      <alignment vertical="top" wrapText="1"/>
      <protection hidden="1"/>
    </xf>
    <xf numFmtId="0" fontId="24" fillId="0" borderId="10" xfId="53" applyNumberFormat="1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>
      <alignment/>
    </xf>
    <xf numFmtId="0" fontId="11" fillId="0" borderId="14" xfId="53" applyNumberFormat="1" applyFont="1" applyFill="1" applyBorder="1" applyAlignment="1" applyProtection="1">
      <alignment vertical="top" wrapText="1"/>
      <protection hidden="1"/>
    </xf>
    <xf numFmtId="0" fontId="11" fillId="0" borderId="12" xfId="53" applyFont="1" applyFill="1" applyBorder="1" applyAlignment="1">
      <alignment vertical="top" wrapText="1"/>
      <protection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0" fontId="18" fillId="0" borderId="0" xfId="0" applyNumberFormat="1" applyFont="1" applyFill="1" applyBorder="1" applyAlignment="1" applyProtection="1">
      <alignment vertical="top" wrapText="1"/>
      <protection/>
    </xf>
    <xf numFmtId="0" fontId="11" fillId="0" borderId="26" xfId="53" applyNumberFormat="1" applyFont="1" applyFill="1" applyBorder="1" applyAlignment="1" applyProtection="1">
      <alignment vertical="top" wrapText="1"/>
      <protection hidden="1"/>
    </xf>
    <xf numFmtId="0" fontId="15" fillId="0" borderId="10" xfId="0" applyFont="1" applyFill="1" applyBorder="1" applyAlignment="1">
      <alignment/>
    </xf>
    <xf numFmtId="0" fontId="11" fillId="0" borderId="0" xfId="53" applyNumberFormat="1" applyFont="1" applyFill="1" applyAlignment="1" applyProtection="1">
      <alignment wrapText="1"/>
      <protection hidden="1"/>
    </xf>
    <xf numFmtId="49" fontId="15" fillId="0" borderId="0" xfId="0" applyNumberFormat="1" applyFont="1" applyFill="1" applyAlignment="1">
      <alignment horizontal="left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0" fontId="15" fillId="0" borderId="11" xfId="0" applyFont="1" applyFill="1" applyBorder="1" applyAlignment="1">
      <alignment horizontal="left"/>
    </xf>
    <xf numFmtId="49" fontId="15" fillId="0" borderId="11" xfId="0" applyNumberFormat="1" applyFont="1" applyFill="1" applyBorder="1" applyAlignment="1">
      <alignment horizontal="right"/>
    </xf>
    <xf numFmtId="174" fontId="14" fillId="0" borderId="12" xfId="53" applyNumberFormat="1" applyFont="1" applyFill="1" applyBorder="1" applyAlignment="1" applyProtection="1">
      <alignment horizontal="center" vertical="top"/>
      <protection hidden="1"/>
    </xf>
    <xf numFmtId="49" fontId="14" fillId="0" borderId="11" xfId="0" applyNumberFormat="1" applyFont="1" applyFill="1" applyBorder="1" applyAlignment="1">
      <alignment horizontal="center" vertical="center"/>
    </xf>
    <xf numFmtId="183" fontId="14" fillId="0" borderId="11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horizontal="center" vertical="center"/>
    </xf>
    <xf numFmtId="183" fontId="11" fillId="0" borderId="11" xfId="0" applyNumberFormat="1" applyFont="1" applyFill="1" applyBorder="1" applyAlignment="1">
      <alignment vertical="center"/>
    </xf>
    <xf numFmtId="183" fontId="11" fillId="0" borderId="11" xfId="0" applyNumberFormat="1" applyFont="1" applyFill="1" applyBorder="1" applyAlignment="1">
      <alignment/>
    </xf>
    <xf numFmtId="49" fontId="18" fillId="0" borderId="12" xfId="0" applyNumberFormat="1" applyFont="1" applyFill="1" applyBorder="1" applyAlignment="1">
      <alignment vertical="top" wrapText="1"/>
    </xf>
    <xf numFmtId="0" fontId="11" fillId="0" borderId="21" xfId="53" applyNumberFormat="1" applyFont="1" applyFill="1" applyBorder="1" applyAlignment="1" applyProtection="1">
      <alignment vertical="top" wrapText="1"/>
      <protection hidden="1"/>
    </xf>
    <xf numFmtId="0" fontId="32" fillId="0" borderId="0" xfId="0" applyFont="1" applyFill="1" applyAlignment="1">
      <alignment/>
    </xf>
    <xf numFmtId="183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83" fontId="32" fillId="0" borderId="0" xfId="0" applyNumberFormat="1" applyFont="1" applyFill="1" applyAlignment="1">
      <alignment/>
    </xf>
    <xf numFmtId="0" fontId="32" fillId="0" borderId="11" xfId="0" applyFont="1" applyFill="1" applyBorder="1" applyAlignment="1">
      <alignment horizontal="center"/>
    </xf>
    <xf numFmtId="183" fontId="14" fillId="0" borderId="11" xfId="0" applyNumberFormat="1" applyFont="1" applyFill="1" applyBorder="1" applyAlignment="1">
      <alignment/>
    </xf>
    <xf numFmtId="2" fontId="11" fillId="0" borderId="11" xfId="0" applyNumberFormat="1" applyFont="1" applyFill="1" applyBorder="1" applyAlignment="1">
      <alignment/>
    </xf>
    <xf numFmtId="183" fontId="24" fillId="0" borderId="11" xfId="0" applyNumberFormat="1" applyFont="1" applyFill="1" applyBorder="1" applyAlignment="1">
      <alignment/>
    </xf>
    <xf numFmtId="183" fontId="33" fillId="0" borderId="11" xfId="0" applyNumberFormat="1" applyFont="1" applyFill="1" applyBorder="1" applyAlignment="1">
      <alignment/>
    </xf>
    <xf numFmtId="183" fontId="32" fillId="0" borderId="0" xfId="0" applyNumberFormat="1" applyFont="1" applyFill="1" applyAlignment="1">
      <alignment horizontal="right"/>
    </xf>
    <xf numFmtId="0" fontId="32" fillId="0" borderId="0" xfId="0" applyFont="1" applyFill="1" applyAlignment="1">
      <alignment horizontal="right"/>
    </xf>
    <xf numFmtId="49" fontId="18" fillId="0" borderId="14" xfId="0" applyNumberFormat="1" applyFont="1" applyFill="1" applyBorder="1" applyAlignment="1">
      <alignment vertical="top" wrapText="1"/>
    </xf>
    <xf numFmtId="49" fontId="18" fillId="0" borderId="26" xfId="0" applyNumberFormat="1" applyFont="1" applyFill="1" applyBorder="1" applyAlignment="1">
      <alignment vertical="top" wrapText="1"/>
    </xf>
    <xf numFmtId="183" fontId="33" fillId="0" borderId="11" xfId="0" applyNumberFormat="1" applyFont="1" applyFill="1" applyBorder="1" applyAlignment="1">
      <alignment/>
    </xf>
    <xf numFmtId="175" fontId="18" fillId="0" borderId="10" xfId="53" applyNumberFormat="1" applyFont="1" applyFill="1" applyBorder="1" applyAlignment="1" applyProtection="1">
      <alignment wrapText="1"/>
      <protection hidden="1"/>
    </xf>
    <xf numFmtId="0" fontId="11" fillId="0" borderId="22" xfId="53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>
      <alignment vertical="top" wrapText="1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0" fontId="18" fillId="0" borderId="14" xfId="0" applyFont="1" applyFill="1" applyBorder="1" applyAlignment="1">
      <alignment vertical="top" wrapText="1"/>
    </xf>
    <xf numFmtId="175" fontId="14" fillId="0" borderId="0" xfId="53" applyNumberFormat="1" applyFont="1" applyFill="1" applyBorder="1" applyAlignment="1" applyProtection="1">
      <alignment wrapText="1"/>
      <protection hidden="1"/>
    </xf>
    <xf numFmtId="175" fontId="14" fillId="0" borderId="10" xfId="53" applyNumberFormat="1" applyFont="1" applyFill="1" applyBorder="1" applyAlignment="1" applyProtection="1">
      <alignment wrapText="1"/>
      <protection hidden="1"/>
    </xf>
    <xf numFmtId="176" fontId="12" fillId="0" borderId="10" xfId="53" applyNumberFormat="1" applyFont="1" applyFill="1" applyBorder="1" applyAlignment="1" applyProtection="1">
      <alignment wrapText="1"/>
      <protection hidden="1"/>
    </xf>
    <xf numFmtId="173" fontId="13" fillId="0" borderId="22" xfId="53" applyNumberFormat="1" applyFont="1" applyFill="1" applyBorder="1" applyAlignment="1" applyProtection="1">
      <alignment wrapText="1"/>
      <protection hidden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0" fontId="17" fillId="0" borderId="0" xfId="53" applyFont="1" applyFill="1">
      <alignment/>
      <protection/>
    </xf>
    <xf numFmtId="176" fontId="12" fillId="0" borderId="24" xfId="53" applyNumberFormat="1" applyFont="1" applyFill="1" applyBorder="1" applyAlignment="1" applyProtection="1">
      <alignment wrapText="1"/>
      <protection hidden="1"/>
    </xf>
    <xf numFmtId="175" fontId="12" fillId="0" borderId="0" xfId="53" applyNumberFormat="1" applyFont="1" applyFill="1" applyBorder="1" applyAlignment="1" applyProtection="1">
      <alignment wrapText="1"/>
      <protection hidden="1"/>
    </xf>
    <xf numFmtId="0" fontId="12" fillId="0" borderId="23" xfId="53" applyNumberFormat="1" applyFont="1" applyFill="1" applyBorder="1" applyAlignment="1" applyProtection="1">
      <alignment wrapText="1"/>
      <protection hidden="1"/>
    </xf>
    <xf numFmtId="183" fontId="12" fillId="0" borderId="11" xfId="53" applyNumberFormat="1" applyFont="1" applyFill="1" applyBorder="1" applyAlignment="1" applyProtection="1">
      <alignment horizontal="center" vertical="top"/>
      <protection hidden="1"/>
    </xf>
    <xf numFmtId="176" fontId="12" fillId="0" borderId="16" xfId="53" applyNumberFormat="1" applyFont="1" applyFill="1" applyBorder="1" applyAlignment="1" applyProtection="1">
      <alignment wrapText="1"/>
      <protection hidden="1"/>
    </xf>
    <xf numFmtId="175" fontId="12" fillId="0" borderId="0" xfId="53" applyNumberFormat="1" applyFont="1" applyFill="1" applyAlignment="1" applyProtection="1">
      <alignment wrapText="1"/>
      <protection hidden="1"/>
    </xf>
    <xf numFmtId="173" fontId="12" fillId="0" borderId="15" xfId="53" applyNumberFormat="1" applyFont="1" applyFill="1" applyBorder="1" applyAlignment="1" applyProtection="1">
      <alignment wrapText="1"/>
      <protection hidden="1"/>
    </xf>
    <xf numFmtId="0" fontId="12" fillId="0" borderId="11" xfId="53" applyNumberFormat="1" applyFont="1" applyFill="1" applyBorder="1" applyAlignment="1" applyProtection="1">
      <alignment vertical="top" wrapText="1"/>
      <protection hidden="1"/>
    </xf>
    <xf numFmtId="174" fontId="12" fillId="0" borderId="12" xfId="53" applyNumberFormat="1" applyFont="1" applyFill="1" applyBorder="1" applyAlignment="1" applyProtection="1">
      <alignment horizontal="center" vertical="top"/>
      <protection hidden="1"/>
    </xf>
    <xf numFmtId="175" fontId="30" fillId="0" borderId="0" xfId="53" applyNumberFormat="1" applyFont="1" applyFill="1" applyAlignment="1" applyProtection="1">
      <alignment wrapText="1"/>
      <protection hidden="1"/>
    </xf>
    <xf numFmtId="173" fontId="30" fillId="0" borderId="12" xfId="53" applyNumberFormat="1" applyFont="1" applyFill="1" applyBorder="1" applyAlignment="1" applyProtection="1">
      <alignment horizontal="center" vertical="top"/>
      <protection hidden="1"/>
    </xf>
    <xf numFmtId="176" fontId="12" fillId="0" borderId="0" xfId="53" applyNumberFormat="1" applyFont="1" applyFill="1" applyBorder="1" applyAlignment="1" applyProtection="1">
      <alignment wrapText="1"/>
      <protection hidden="1"/>
    </xf>
    <xf numFmtId="176" fontId="12" fillId="0" borderId="23" xfId="53" applyNumberFormat="1" applyFont="1" applyFill="1" applyBorder="1" applyAlignment="1" applyProtection="1">
      <alignment wrapText="1"/>
      <protection hidden="1"/>
    </xf>
    <xf numFmtId="0" fontId="14" fillId="0" borderId="23" xfId="53" applyNumberFormat="1" applyFont="1" applyFill="1" applyBorder="1" applyAlignment="1" applyProtection="1">
      <alignment wrapText="1"/>
      <protection hidden="1"/>
    </xf>
    <xf numFmtId="0" fontId="12" fillId="0" borderId="15" xfId="53" applyNumberFormat="1" applyFont="1" applyFill="1" applyBorder="1" applyAlignment="1" applyProtection="1">
      <alignment wrapText="1"/>
      <protection hidden="1"/>
    </xf>
    <xf numFmtId="173" fontId="12" fillId="0" borderId="14" xfId="53" applyNumberFormat="1" applyFont="1" applyFill="1" applyBorder="1" applyAlignment="1" applyProtection="1">
      <alignment horizontal="center" vertical="top"/>
      <protection hidden="1"/>
    </xf>
    <xf numFmtId="174" fontId="12" fillId="0" borderId="11" xfId="53" applyNumberFormat="1" applyFont="1" applyFill="1" applyBorder="1" applyAlignment="1" applyProtection="1">
      <alignment horizontal="center" vertical="top"/>
      <protection hidden="1"/>
    </xf>
    <xf numFmtId="49" fontId="11" fillId="0" borderId="11" xfId="0" applyNumberFormat="1" applyFont="1" applyFill="1" applyBorder="1" applyAlignment="1">
      <alignment/>
    </xf>
    <xf numFmtId="183" fontId="4" fillId="0" borderId="23" xfId="53" applyNumberFormat="1" applyFont="1" applyFill="1" applyBorder="1" applyAlignment="1" applyProtection="1">
      <alignment horizontal="center" vertical="top"/>
      <protection hidden="1"/>
    </xf>
    <xf numFmtId="0" fontId="10" fillId="0" borderId="0" xfId="53" applyFont="1" applyFill="1" applyBorder="1">
      <alignment/>
      <protection/>
    </xf>
    <xf numFmtId="0" fontId="10" fillId="0" borderId="23" xfId="53" applyFont="1" applyFill="1" applyBorder="1">
      <alignment/>
      <protection/>
    </xf>
    <xf numFmtId="0" fontId="14" fillId="0" borderId="11" xfId="54" applyNumberFormat="1" applyFont="1" applyFill="1" applyBorder="1" applyAlignment="1" applyProtection="1">
      <alignment vertical="top" wrapText="1"/>
      <protection hidden="1"/>
    </xf>
    <xf numFmtId="0" fontId="11" fillId="0" borderId="25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6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18" fillId="0" borderId="14" xfId="53" applyNumberFormat="1" applyFont="1" applyFill="1" applyBorder="1" applyAlignment="1" applyProtection="1">
      <alignment vertical="top" wrapText="1"/>
      <protection hidden="1"/>
    </xf>
    <xf numFmtId="0" fontId="11" fillId="0" borderId="14" xfId="54" applyNumberFormat="1" applyFont="1" applyFill="1" applyBorder="1" applyAlignment="1" applyProtection="1">
      <alignment vertical="top" wrapText="1"/>
      <protection hidden="1"/>
    </xf>
    <xf numFmtId="0" fontId="18" fillId="0" borderId="14" xfId="54" applyNumberFormat="1" applyFont="1" applyFill="1" applyBorder="1" applyAlignment="1" applyProtection="1">
      <alignment vertical="top" wrapText="1"/>
      <protection hidden="1"/>
    </xf>
    <xf numFmtId="0" fontId="24" fillId="0" borderId="14" xfId="53" applyNumberFormat="1" applyFont="1" applyFill="1" applyBorder="1" applyAlignment="1" applyProtection="1">
      <alignment vertical="top" wrapText="1"/>
      <protection hidden="1"/>
    </xf>
    <xf numFmtId="0" fontId="18" fillId="0" borderId="14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0" fontId="11" fillId="0" borderId="14" xfId="53" applyFont="1" applyFill="1" applyBorder="1" applyAlignment="1">
      <alignment vertical="top" wrapText="1"/>
      <protection/>
    </xf>
    <xf numFmtId="0" fontId="18" fillId="0" borderId="14" xfId="56" applyNumberFormat="1" applyFont="1" applyFill="1" applyBorder="1" applyAlignment="1" applyProtection="1">
      <alignment vertical="top" wrapText="1"/>
      <protection hidden="1"/>
    </xf>
    <xf numFmtId="0" fontId="11" fillId="0" borderId="21" xfId="0" applyNumberFormat="1" applyFont="1" applyFill="1" applyBorder="1" applyAlignment="1">
      <alignment vertical="top" wrapText="1"/>
    </xf>
    <xf numFmtId="49" fontId="18" fillId="0" borderId="22" xfId="0" applyNumberFormat="1" applyFont="1" applyFill="1" applyBorder="1" applyAlignment="1">
      <alignment vertical="top" wrapText="1"/>
    </xf>
    <xf numFmtId="49" fontId="11" fillId="0" borderId="21" xfId="0" applyNumberFormat="1" applyFont="1" applyFill="1" applyBorder="1" applyAlignment="1">
      <alignment vertical="top" wrapText="1"/>
    </xf>
    <xf numFmtId="0" fontId="18" fillId="0" borderId="12" xfId="0" applyFont="1" applyFill="1" applyBorder="1" applyAlignment="1">
      <alignment vertical="top" wrapText="1"/>
    </xf>
    <xf numFmtId="0" fontId="18" fillId="0" borderId="21" xfId="56" applyNumberFormat="1" applyFont="1" applyFill="1" applyBorder="1" applyAlignment="1" applyProtection="1">
      <alignment vertical="top" wrapText="1"/>
      <protection hidden="1"/>
    </xf>
    <xf numFmtId="0" fontId="14" fillId="0" borderId="14" xfId="53" applyNumberFormat="1" applyFont="1" applyFill="1" applyBorder="1" applyAlignment="1" applyProtection="1">
      <alignment vertical="top" wrapText="1"/>
      <protection hidden="1"/>
    </xf>
    <xf numFmtId="0" fontId="14" fillId="0" borderId="12" xfId="53" applyFont="1" applyFill="1" applyBorder="1" applyAlignment="1">
      <alignment horizontal="justify" vertical="top"/>
      <protection/>
    </xf>
    <xf numFmtId="0" fontId="18" fillId="0" borderId="11" xfId="54" applyNumberFormat="1" applyFont="1" applyFill="1" applyBorder="1" applyAlignment="1" applyProtection="1">
      <alignment vertical="top" wrapText="1"/>
      <protection hidden="1"/>
    </xf>
    <xf numFmtId="0" fontId="18" fillId="0" borderId="11" xfId="0" applyNumberFormat="1" applyFont="1" applyFill="1" applyBorder="1" applyAlignment="1" applyProtection="1">
      <alignment vertical="top" wrapText="1"/>
      <protection/>
    </xf>
    <xf numFmtId="173" fontId="30" fillId="0" borderId="14" xfId="53" applyNumberFormat="1" applyFont="1" applyFill="1" applyBorder="1" applyAlignment="1" applyProtection="1">
      <alignment horizontal="center" vertical="top"/>
      <protection hidden="1"/>
    </xf>
    <xf numFmtId="173" fontId="14" fillId="0" borderId="14" xfId="53" applyNumberFormat="1" applyFont="1" applyFill="1" applyBorder="1" applyAlignment="1" applyProtection="1">
      <alignment horizontal="center" vertical="top"/>
      <protection hidden="1"/>
    </xf>
    <xf numFmtId="49" fontId="18" fillId="0" borderId="12" xfId="53" applyNumberFormat="1" applyFont="1" applyFill="1" applyBorder="1" applyAlignment="1" applyProtection="1">
      <alignment horizontal="center" vertical="top"/>
      <protection hidden="1"/>
    </xf>
    <xf numFmtId="49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4" fillId="0" borderId="12" xfId="53" applyFont="1" applyFill="1" applyBorder="1" applyAlignment="1">
      <alignment horizontal="center" vertical="top"/>
      <protection/>
    </xf>
    <xf numFmtId="0" fontId="12" fillId="0" borderId="11" xfId="54" applyNumberFormat="1" applyFont="1" applyFill="1" applyBorder="1" applyAlignment="1" applyProtection="1">
      <alignment vertical="top" wrapText="1"/>
      <protection hidden="1"/>
    </xf>
    <xf numFmtId="0" fontId="32" fillId="0" borderId="11" xfId="0" applyFont="1" applyFill="1" applyBorder="1" applyAlignment="1">
      <alignment vertical="top" wrapText="1"/>
    </xf>
    <xf numFmtId="0" fontId="32" fillId="0" borderId="11" xfId="0" applyFont="1" applyFill="1" applyBorder="1" applyAlignment="1">
      <alignment wrapText="1"/>
    </xf>
    <xf numFmtId="0" fontId="22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left" vertical="top" wrapText="1"/>
    </xf>
    <xf numFmtId="0" fontId="70" fillId="0" borderId="11" xfId="0" applyFont="1" applyFill="1" applyBorder="1" applyAlignment="1">
      <alignment vertical="top" wrapText="1"/>
    </xf>
    <xf numFmtId="0" fontId="70" fillId="0" borderId="11" xfId="0" applyFont="1" applyFill="1" applyBorder="1" applyAlignment="1">
      <alignment vertical="top"/>
    </xf>
    <xf numFmtId="0" fontId="15" fillId="0" borderId="11" xfId="0" applyFont="1" applyFill="1" applyBorder="1" applyAlignment="1">
      <alignment horizontal="left" vertical="top" wrapText="1"/>
    </xf>
    <xf numFmtId="0" fontId="15" fillId="0" borderId="25" xfId="0" applyFont="1" applyFill="1" applyBorder="1" applyAlignment="1">
      <alignment horizontal="left" vertical="top" wrapText="1"/>
    </xf>
    <xf numFmtId="0" fontId="70" fillId="0" borderId="14" xfId="0" applyFont="1" applyFill="1" applyBorder="1" applyAlignment="1">
      <alignment vertical="top" wrapText="1"/>
    </xf>
    <xf numFmtId="0" fontId="70" fillId="0" borderId="0" xfId="0" applyFont="1" applyFill="1" applyAlignment="1">
      <alignment vertical="top" wrapText="1"/>
    </xf>
    <xf numFmtId="0" fontId="70" fillId="0" borderId="0" xfId="0" applyFont="1" applyFill="1" applyAlignment="1">
      <alignment vertical="top"/>
    </xf>
    <xf numFmtId="0" fontId="21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vertical="top"/>
    </xf>
    <xf numFmtId="0" fontId="70" fillId="0" borderId="0" xfId="0" applyFont="1" applyFill="1" applyAlignment="1">
      <alignment/>
    </xf>
    <xf numFmtId="49" fontId="11" fillId="0" borderId="0" xfId="0" applyNumberFormat="1" applyFont="1" applyFill="1" applyAlignment="1">
      <alignment vertical="top" wrapText="1"/>
    </xf>
    <xf numFmtId="49" fontId="11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/>
    </xf>
    <xf numFmtId="183" fontId="11" fillId="0" borderId="0" xfId="56" applyNumberFormat="1" applyFont="1" applyFill="1" applyAlignment="1">
      <alignment horizontal="left"/>
      <protection/>
    </xf>
    <xf numFmtId="0" fontId="11" fillId="0" borderId="0" xfId="56" applyFont="1" applyFill="1" applyAlignment="1">
      <alignment vertical="top"/>
      <protection/>
    </xf>
    <xf numFmtId="0" fontId="3" fillId="0" borderId="0" xfId="0" applyFont="1" applyFill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11" xfId="0" applyFont="1" applyFill="1" applyBorder="1" applyAlignment="1">
      <alignment vertical="center"/>
    </xf>
    <xf numFmtId="183" fontId="14" fillId="0" borderId="11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183" fontId="14" fillId="0" borderId="0" xfId="0" applyNumberFormat="1" applyFont="1" applyFill="1" applyBorder="1" applyAlignment="1">
      <alignment horizontal="right" vertical="center"/>
    </xf>
    <xf numFmtId="183" fontId="14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center"/>
    </xf>
    <xf numFmtId="183" fontId="11" fillId="0" borderId="0" xfId="53" applyNumberFormat="1" applyFont="1" applyFill="1" applyAlignment="1">
      <alignment horizontal="right" vertical="top"/>
      <protection/>
    </xf>
    <xf numFmtId="0" fontId="70" fillId="0" borderId="27" xfId="0" applyFont="1" applyFill="1" applyBorder="1" applyAlignment="1">
      <alignment/>
    </xf>
    <xf numFmtId="0" fontId="11" fillId="0" borderId="21" xfId="56" applyNumberFormat="1" applyFont="1" applyFill="1" applyBorder="1" applyAlignment="1" applyProtection="1">
      <alignment vertical="top" wrapText="1"/>
      <protection hidden="1"/>
    </xf>
    <xf numFmtId="176" fontId="71" fillId="0" borderId="15" xfId="53" applyNumberFormat="1" applyFont="1" applyFill="1" applyBorder="1" applyAlignment="1" applyProtection="1">
      <alignment wrapText="1"/>
      <protection hidden="1"/>
    </xf>
    <xf numFmtId="176" fontId="71" fillId="0" borderId="22" xfId="53" applyNumberFormat="1" applyFont="1" applyFill="1" applyBorder="1" applyAlignment="1" applyProtection="1">
      <alignment wrapText="1"/>
      <protection hidden="1"/>
    </xf>
    <xf numFmtId="176" fontId="71" fillId="0" borderId="16" xfId="53" applyNumberFormat="1" applyFont="1" applyFill="1" applyBorder="1" applyAlignment="1" applyProtection="1">
      <alignment wrapText="1"/>
      <protection hidden="1"/>
    </xf>
    <xf numFmtId="175" fontId="71" fillId="0" borderId="22" xfId="53" applyNumberFormat="1" applyFont="1" applyFill="1" applyBorder="1" applyAlignment="1" applyProtection="1">
      <alignment wrapText="1"/>
      <protection hidden="1"/>
    </xf>
    <xf numFmtId="0" fontId="71" fillId="0" borderId="23" xfId="53" applyNumberFormat="1" applyFont="1" applyFill="1" applyBorder="1" applyAlignment="1" applyProtection="1">
      <alignment wrapText="1"/>
      <protection hidden="1"/>
    </xf>
    <xf numFmtId="173" fontId="71" fillId="0" borderId="15" xfId="53" applyNumberFormat="1" applyFont="1" applyFill="1" applyBorder="1" applyAlignment="1" applyProtection="1">
      <alignment wrapText="1"/>
      <protection hidden="1"/>
    </xf>
    <xf numFmtId="0" fontId="71" fillId="0" borderId="11" xfId="53" applyNumberFormat="1" applyFont="1" applyFill="1" applyBorder="1" applyAlignment="1" applyProtection="1">
      <alignment vertical="top" wrapText="1"/>
      <protection hidden="1"/>
    </xf>
    <xf numFmtId="173" fontId="71" fillId="0" borderId="14" xfId="53" applyNumberFormat="1" applyFont="1" applyFill="1" applyBorder="1" applyAlignment="1" applyProtection="1">
      <alignment horizontal="center" vertical="top"/>
      <protection hidden="1"/>
    </xf>
    <xf numFmtId="174" fontId="71" fillId="0" borderId="11" xfId="53" applyNumberFormat="1" applyFont="1" applyFill="1" applyBorder="1" applyAlignment="1" applyProtection="1">
      <alignment horizontal="center" vertical="top"/>
      <protection hidden="1"/>
    </xf>
    <xf numFmtId="174" fontId="71" fillId="0" borderId="13" xfId="53" applyNumberFormat="1" applyFont="1" applyFill="1" applyBorder="1" applyAlignment="1" applyProtection="1">
      <alignment horizontal="center" vertical="top"/>
      <protection hidden="1"/>
    </xf>
    <xf numFmtId="49" fontId="71" fillId="0" borderId="13" xfId="53" applyNumberFormat="1" applyFont="1" applyFill="1" applyBorder="1" applyAlignment="1" applyProtection="1">
      <alignment horizontal="center" vertical="top"/>
      <protection hidden="1"/>
    </xf>
    <xf numFmtId="49" fontId="71" fillId="0" borderId="14" xfId="53" applyNumberFormat="1" applyFont="1" applyFill="1" applyBorder="1" applyAlignment="1" applyProtection="1">
      <alignment horizontal="center" vertical="top"/>
      <protection hidden="1"/>
    </xf>
    <xf numFmtId="173" fontId="71" fillId="0" borderId="11" xfId="53" applyNumberFormat="1" applyFont="1" applyFill="1" applyBorder="1" applyAlignment="1" applyProtection="1">
      <alignment horizontal="center" vertical="top"/>
      <protection hidden="1"/>
    </xf>
    <xf numFmtId="183" fontId="72" fillId="0" borderId="12" xfId="53" applyNumberFormat="1" applyFont="1" applyFill="1" applyBorder="1" applyAlignment="1" applyProtection="1">
      <alignment horizontal="center" vertical="top"/>
      <protection hidden="1"/>
    </xf>
    <xf numFmtId="0" fontId="73" fillId="0" borderId="0" xfId="53" applyFont="1" applyFill="1">
      <alignment/>
      <protection/>
    </xf>
    <xf numFmtId="49" fontId="11" fillId="0" borderId="16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vertical="top" wrapText="1"/>
    </xf>
    <xf numFmtId="49" fontId="11" fillId="0" borderId="13" xfId="53" applyNumberFormat="1" applyFont="1" applyFill="1" applyBorder="1" applyAlignment="1" applyProtection="1">
      <alignment vertical="top" wrapText="1"/>
      <protection hidden="1"/>
    </xf>
    <xf numFmtId="0" fontId="21" fillId="0" borderId="12" xfId="0" applyFont="1" applyFill="1" applyBorder="1" applyAlignment="1">
      <alignment/>
    </xf>
    <xf numFmtId="183" fontId="4" fillId="0" borderId="12" xfId="0" applyNumberFormat="1" applyFont="1" applyFill="1" applyBorder="1" applyAlignment="1">
      <alignment horizontal="center" vertical="top"/>
    </xf>
    <xf numFmtId="0" fontId="11" fillId="0" borderId="0" xfId="56" applyFont="1" applyFill="1" applyAlignment="1">
      <alignment horizontal="left" vertical="top"/>
      <protection/>
    </xf>
    <xf numFmtId="183" fontId="10" fillId="0" borderId="0" xfId="53" applyNumberFormat="1" applyFont="1" applyFill="1">
      <alignment/>
      <protection/>
    </xf>
    <xf numFmtId="0" fontId="70" fillId="0" borderId="0" xfId="0" applyFont="1" applyFill="1" applyAlignment="1">
      <alignment wrapText="1"/>
    </xf>
    <xf numFmtId="0" fontId="70" fillId="0" borderId="12" xfId="0" applyFont="1" applyFill="1" applyBorder="1" applyAlignment="1">
      <alignment wrapText="1"/>
    </xf>
    <xf numFmtId="0" fontId="14" fillId="0" borderId="16" xfId="53" applyNumberFormat="1" applyFont="1" applyFill="1" applyBorder="1" applyAlignment="1" applyProtection="1">
      <alignment vertical="top" wrapText="1"/>
      <protection hidden="1"/>
    </xf>
    <xf numFmtId="0" fontId="14" fillId="0" borderId="20" xfId="53" applyNumberFormat="1" applyFont="1" applyFill="1" applyBorder="1" applyAlignment="1" applyProtection="1">
      <alignment vertical="top" wrapText="1"/>
      <protection hidden="1"/>
    </xf>
    <xf numFmtId="0" fontId="21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 wrapText="1"/>
    </xf>
    <xf numFmtId="0" fontId="14" fillId="0" borderId="15" xfId="53" applyNumberFormat="1" applyFont="1" applyFill="1" applyBorder="1" applyAlignment="1" applyProtection="1">
      <alignment vertical="top" wrapText="1"/>
      <protection hidden="1"/>
    </xf>
    <xf numFmtId="0" fontId="74" fillId="0" borderId="0" xfId="0" applyFont="1" applyFill="1" applyAlignment="1">
      <alignment/>
    </xf>
    <xf numFmtId="0" fontId="11" fillId="0" borderId="22" xfId="0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183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center"/>
      <protection hidden="1"/>
    </xf>
    <xf numFmtId="0" fontId="11" fillId="0" borderId="16" xfId="53" applyNumberFormat="1" applyFont="1" applyFill="1" applyBorder="1" applyAlignment="1" applyProtection="1">
      <alignment horizontal="center" vertical="center"/>
      <protection hidden="1"/>
    </xf>
    <xf numFmtId="0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5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6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Fill="1" applyAlignment="1">
      <alignment horizontal="left" vertical="top"/>
      <protection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183" fontId="11" fillId="0" borderId="22" xfId="53" applyNumberFormat="1" applyFont="1" applyFill="1" applyBorder="1" applyAlignment="1">
      <alignment horizontal="right" vertical="top"/>
      <protection/>
    </xf>
    <xf numFmtId="0" fontId="11" fillId="0" borderId="25" xfId="53" applyNumberFormat="1" applyFont="1" applyFill="1" applyBorder="1" applyAlignment="1" applyProtection="1">
      <alignment horizontal="center" vertical="center"/>
      <protection hidden="1"/>
    </xf>
    <xf numFmtId="0" fontId="11" fillId="0" borderId="26" xfId="53" applyNumberFormat="1" applyFont="1" applyFill="1" applyBorder="1" applyAlignment="1" applyProtection="1">
      <alignment horizontal="center" vertical="center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6" fontId="18" fillId="0" borderId="11" xfId="53" applyNumberFormat="1" applyFont="1" applyFill="1" applyBorder="1" applyAlignment="1" applyProtection="1">
      <alignment wrapText="1"/>
      <protection hidden="1"/>
    </xf>
    <xf numFmtId="176" fontId="18" fillId="0" borderId="10" xfId="53" applyNumberFormat="1" applyFont="1" applyFill="1" applyBorder="1" applyAlignment="1" applyProtection="1">
      <alignment wrapText="1"/>
      <protection hidden="1"/>
    </xf>
    <xf numFmtId="0" fontId="11" fillId="0" borderId="13" xfId="53" applyNumberFormat="1" applyFont="1" applyFill="1" applyBorder="1" applyAlignment="1" applyProtection="1">
      <alignment wrapText="1"/>
      <protection hidden="1"/>
    </xf>
    <xf numFmtId="0" fontId="11" fillId="0" borderId="12" xfId="53" applyNumberFormat="1" applyFont="1" applyFill="1" applyBorder="1" applyAlignment="1" applyProtection="1">
      <alignment wrapText="1"/>
      <protection hidden="1"/>
    </xf>
    <xf numFmtId="175" fontId="18" fillId="0" borderId="11" xfId="53" applyNumberFormat="1" applyFont="1" applyFill="1" applyBorder="1" applyAlignment="1" applyProtection="1">
      <alignment wrapText="1"/>
      <protection hidden="1"/>
    </xf>
    <xf numFmtId="175" fontId="18" fillId="0" borderId="10" xfId="53" applyNumberFormat="1" applyFont="1" applyFill="1" applyBorder="1" applyAlignment="1" applyProtection="1">
      <alignment wrapText="1"/>
      <protection hidden="1"/>
    </xf>
    <xf numFmtId="176" fontId="12" fillId="0" borderId="10" xfId="53" applyNumberFormat="1" applyFont="1" applyFill="1" applyBorder="1" applyAlignment="1" applyProtection="1">
      <alignment wrapText="1"/>
      <protection hidden="1"/>
    </xf>
    <xf numFmtId="176" fontId="24" fillId="0" borderId="11" xfId="53" applyNumberFormat="1" applyFont="1" applyFill="1" applyBorder="1" applyAlignment="1" applyProtection="1">
      <alignment wrapText="1"/>
      <protection hidden="1"/>
    </xf>
    <xf numFmtId="176" fontId="24" fillId="0" borderId="10" xfId="53" applyNumberFormat="1" applyFont="1" applyFill="1" applyBorder="1" applyAlignment="1" applyProtection="1">
      <alignment wrapText="1"/>
      <protection hidden="1"/>
    </xf>
    <xf numFmtId="0" fontId="11" fillId="0" borderId="11" xfId="53" applyNumberFormat="1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183" fontId="11" fillId="0" borderId="11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11" fillId="0" borderId="0" xfId="53" applyNumberFormat="1" applyFont="1" applyFill="1" applyAlignment="1" applyProtection="1">
      <alignment horizontal="left" wrapText="1"/>
      <protection hidden="1"/>
    </xf>
    <xf numFmtId="0" fontId="11" fillId="0" borderId="0" xfId="53" applyNumberFormat="1" applyFont="1" applyFill="1" applyAlignment="1" applyProtection="1">
      <alignment horizontal="left" vertical="center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183" fontId="15" fillId="0" borderId="1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22" fillId="0" borderId="22" xfId="0" applyNumberFormat="1" applyFont="1" applyBorder="1" applyAlignment="1">
      <alignment horizontal="right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8" fillId="0" borderId="0" xfId="0" applyFont="1" applyAlignment="1">
      <alignment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15" fillId="0" borderId="11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44.28125" style="377" customWidth="1"/>
    <col min="2" max="2" width="6.57421875" style="211" customWidth="1"/>
    <col min="3" max="3" width="7.28125" style="211" customWidth="1"/>
    <col min="4" max="4" width="12.8515625" style="24" customWidth="1"/>
    <col min="5" max="5" width="13.140625" style="24" customWidth="1"/>
    <col min="6" max="6" width="12.57421875" style="24" customWidth="1"/>
    <col min="7" max="16384" width="9.140625" style="24" customWidth="1"/>
  </cols>
  <sheetData>
    <row r="1" spans="4:5" ht="15.75">
      <c r="D1" s="211" t="s">
        <v>473</v>
      </c>
      <c r="E1" s="211"/>
    </row>
    <row r="2" spans="4:5" ht="15.75">
      <c r="D2" s="211" t="s">
        <v>73</v>
      </c>
      <c r="E2" s="211"/>
    </row>
    <row r="3" spans="4:5" ht="15.75">
      <c r="D3" s="211" t="s">
        <v>472</v>
      </c>
      <c r="E3" s="211"/>
    </row>
    <row r="4" spans="4:6" ht="15.75">
      <c r="D4" s="378" t="s">
        <v>1117</v>
      </c>
      <c r="E4" s="21"/>
      <c r="F4" s="21"/>
    </row>
    <row r="5" spans="1:5" ht="15.75">
      <c r="A5" s="379"/>
      <c r="D5" s="380" t="s">
        <v>1086</v>
      </c>
      <c r="E5" s="211"/>
    </row>
    <row r="6" spans="1:5" ht="15.75">
      <c r="A6" s="379"/>
      <c r="D6" s="381" t="s">
        <v>73</v>
      </c>
      <c r="E6" s="211"/>
    </row>
    <row r="7" spans="1:5" ht="15.75">
      <c r="A7" s="379"/>
      <c r="D7" s="382" t="s">
        <v>482</v>
      </c>
      <c r="E7" s="211"/>
    </row>
    <row r="8" spans="1:5" ht="15.75">
      <c r="A8" s="379"/>
      <c r="D8" s="382" t="s">
        <v>991</v>
      </c>
      <c r="E8" s="211"/>
    </row>
    <row r="9" spans="1:7" ht="15.75">
      <c r="A9" s="379"/>
      <c r="D9" s="420" t="s">
        <v>992</v>
      </c>
      <c r="E9" s="420"/>
      <c r="F9" s="420"/>
      <c r="G9" s="420"/>
    </row>
    <row r="10" spans="4:5" ht="15.75">
      <c r="D10" s="211" t="s">
        <v>1028</v>
      </c>
      <c r="E10" s="211"/>
    </row>
    <row r="12" spans="1:6" ht="18.75">
      <c r="A12" s="434" t="s">
        <v>1027</v>
      </c>
      <c r="B12" s="434"/>
      <c r="C12" s="434"/>
      <c r="D12" s="434"/>
      <c r="E12" s="434"/>
      <c r="F12" s="434"/>
    </row>
    <row r="13" spans="1:6" ht="18.75">
      <c r="A13" s="383"/>
      <c r="E13" s="430" t="s">
        <v>361</v>
      </c>
      <c r="F13" s="430"/>
    </row>
    <row r="14" spans="1:6" s="386" customFormat="1" ht="15.75">
      <c r="A14" s="431" t="s">
        <v>194</v>
      </c>
      <c r="B14" s="432" t="s">
        <v>233</v>
      </c>
      <c r="C14" s="433" t="s">
        <v>234</v>
      </c>
      <c r="D14" s="433" t="s">
        <v>188</v>
      </c>
      <c r="E14" s="433"/>
      <c r="F14" s="433"/>
    </row>
    <row r="15" spans="1:6" s="386" customFormat="1" ht="15.75">
      <c r="A15" s="431"/>
      <c r="B15" s="432"/>
      <c r="C15" s="433"/>
      <c r="D15" s="387" t="s">
        <v>463</v>
      </c>
      <c r="E15" s="387" t="s">
        <v>481</v>
      </c>
      <c r="F15" s="387" t="s">
        <v>993</v>
      </c>
    </row>
    <row r="16" spans="1:6" s="386" customFormat="1" ht="15.75">
      <c r="A16" s="384">
        <v>1</v>
      </c>
      <c r="B16" s="385">
        <v>2</v>
      </c>
      <c r="C16" s="385">
        <v>3</v>
      </c>
      <c r="D16" s="387">
        <v>4</v>
      </c>
      <c r="E16" s="387">
        <v>5</v>
      </c>
      <c r="F16" s="387">
        <v>6</v>
      </c>
    </row>
    <row r="17" spans="1:6" ht="31.5">
      <c r="A17" s="23" t="s">
        <v>235</v>
      </c>
      <c r="B17" s="275" t="s">
        <v>221</v>
      </c>
      <c r="C17" s="277"/>
      <c r="D17" s="276">
        <f>SUM(D18:D25)</f>
        <v>142137.69999999998</v>
      </c>
      <c r="E17" s="276">
        <f>SUM(E18:E25)</f>
        <v>136551.7</v>
      </c>
      <c r="F17" s="276">
        <f>SUM(F18:F25)</f>
        <v>136044</v>
      </c>
    </row>
    <row r="18" spans="1:6" ht="63">
      <c r="A18" s="12" t="s">
        <v>226</v>
      </c>
      <c r="B18" s="277" t="s">
        <v>221</v>
      </c>
      <c r="C18" s="277" t="s">
        <v>236</v>
      </c>
      <c r="D18" s="131">
        <f>'приложение 4'!Q16</f>
        <v>2574.7</v>
      </c>
      <c r="E18" s="131">
        <f>'приложение 4'!R16</f>
        <v>2299.9</v>
      </c>
      <c r="F18" s="131">
        <f>'приложение 4'!S17</f>
        <v>2299.9</v>
      </c>
    </row>
    <row r="19" spans="1:6" ht="78.75">
      <c r="A19" s="12" t="s">
        <v>187</v>
      </c>
      <c r="B19" s="277" t="s">
        <v>221</v>
      </c>
      <c r="C19" s="277" t="s">
        <v>237</v>
      </c>
      <c r="D19" s="131">
        <f>'приложение 4'!Q23</f>
        <v>3047.3</v>
      </c>
      <c r="E19" s="131">
        <f>'приложение 4'!R23</f>
        <v>3129.5</v>
      </c>
      <c r="F19" s="131">
        <f>'приложение 4'!S23</f>
        <v>3129.5</v>
      </c>
    </row>
    <row r="20" spans="1:6" ht="78.75">
      <c r="A20" s="12" t="s">
        <v>238</v>
      </c>
      <c r="B20" s="277" t="s">
        <v>221</v>
      </c>
      <c r="C20" s="277" t="s">
        <v>232</v>
      </c>
      <c r="D20" s="131">
        <f>'приложение 4'!Q30</f>
        <v>40632.7</v>
      </c>
      <c r="E20" s="131">
        <f>'приложение 4'!R30</f>
        <v>48172.899999999994</v>
      </c>
      <c r="F20" s="131">
        <f>'приложение 4'!S30</f>
        <v>47659.59999999999</v>
      </c>
    </row>
    <row r="21" spans="1:6" ht="15.75">
      <c r="A21" s="12" t="s">
        <v>259</v>
      </c>
      <c r="B21" s="277" t="s">
        <v>221</v>
      </c>
      <c r="C21" s="277" t="s">
        <v>223</v>
      </c>
      <c r="D21" s="131">
        <f>'приложение 4'!Q60</f>
        <v>3</v>
      </c>
      <c r="E21" s="131">
        <f>'приложение 4'!R60</f>
        <v>3.1</v>
      </c>
      <c r="F21" s="131">
        <f>'приложение 4'!S60</f>
        <v>20.2</v>
      </c>
    </row>
    <row r="22" spans="1:6" ht="63">
      <c r="A22" s="12" t="s">
        <v>76</v>
      </c>
      <c r="B22" s="277" t="s">
        <v>221</v>
      </c>
      <c r="C22" s="277" t="s">
        <v>239</v>
      </c>
      <c r="D22" s="131">
        <f>'приложение 4'!Q65</f>
        <v>10809.1</v>
      </c>
      <c r="E22" s="131">
        <f>'приложение 4'!R65</f>
        <v>11534</v>
      </c>
      <c r="F22" s="131">
        <f>'приложение 4'!S65</f>
        <v>11034</v>
      </c>
    </row>
    <row r="23" spans="1:6" ht="31.5" hidden="1">
      <c r="A23" s="12" t="s">
        <v>471</v>
      </c>
      <c r="B23" s="277" t="s">
        <v>221</v>
      </c>
      <c r="C23" s="277" t="s">
        <v>225</v>
      </c>
      <c r="D23" s="131" t="s">
        <v>262</v>
      </c>
      <c r="E23" s="131" t="s">
        <v>262</v>
      </c>
      <c r="F23" s="131" t="s">
        <v>262</v>
      </c>
    </row>
    <row r="24" spans="1:6" ht="15.75">
      <c r="A24" s="25" t="s">
        <v>75</v>
      </c>
      <c r="B24" s="277" t="s">
        <v>221</v>
      </c>
      <c r="C24" s="277" t="s">
        <v>240</v>
      </c>
      <c r="D24" s="131">
        <f>'приложение 4'!Q93</f>
        <v>155.3</v>
      </c>
      <c r="E24" s="131">
        <f>'приложение 4'!R93</f>
        <v>500</v>
      </c>
      <c r="F24" s="131">
        <f>'приложение 4'!S93</f>
        <v>500</v>
      </c>
    </row>
    <row r="25" spans="1:6" ht="15.75">
      <c r="A25" s="25" t="s">
        <v>206</v>
      </c>
      <c r="B25" s="277" t="s">
        <v>221</v>
      </c>
      <c r="C25" s="277" t="s">
        <v>241</v>
      </c>
      <c r="D25" s="131">
        <f>'приложение 4'!Q97</f>
        <v>84915.59999999999</v>
      </c>
      <c r="E25" s="131">
        <f>'приложение 4'!R97</f>
        <v>70912.30000000002</v>
      </c>
      <c r="F25" s="131">
        <f>'приложение 4'!S97</f>
        <v>71400.80000000002</v>
      </c>
    </row>
    <row r="26" spans="1:6" s="388" customFormat="1" ht="15.75">
      <c r="A26" s="334" t="s">
        <v>591</v>
      </c>
      <c r="B26" s="275" t="s">
        <v>236</v>
      </c>
      <c r="C26" s="275"/>
      <c r="D26" s="132">
        <f>D27</f>
        <v>1200.8000000000002</v>
      </c>
      <c r="E26" s="132">
        <f>E27</f>
        <v>1320</v>
      </c>
      <c r="F26" s="132">
        <f>F27</f>
        <v>1441.2</v>
      </c>
    </row>
    <row r="27" spans="1:6" ht="31.5">
      <c r="A27" s="2" t="s">
        <v>564</v>
      </c>
      <c r="B27" s="277" t="s">
        <v>236</v>
      </c>
      <c r="C27" s="277" t="s">
        <v>237</v>
      </c>
      <c r="D27" s="131">
        <f>'приложение 4'!Q191</f>
        <v>1200.8000000000002</v>
      </c>
      <c r="E27" s="131">
        <f>'приложение 4'!R191</f>
        <v>1320</v>
      </c>
      <c r="F27" s="131">
        <f>'приложение 4'!S191</f>
        <v>1441.2</v>
      </c>
    </row>
    <row r="28" spans="1:6" ht="47.25">
      <c r="A28" s="23" t="s">
        <v>256</v>
      </c>
      <c r="B28" s="275" t="s">
        <v>237</v>
      </c>
      <c r="C28" s="275"/>
      <c r="D28" s="132">
        <f>SUM(D29:D31)</f>
        <v>6322.6</v>
      </c>
      <c r="E28" s="132">
        <f>SUM(E29:E31)</f>
        <v>7267.1</v>
      </c>
      <c r="F28" s="132">
        <f>SUM(F29:F31)</f>
        <v>6075.1</v>
      </c>
    </row>
    <row r="29" spans="1:6" ht="15.75">
      <c r="A29" s="25" t="s">
        <v>458</v>
      </c>
      <c r="B29" s="277" t="s">
        <v>237</v>
      </c>
      <c r="C29" s="277" t="s">
        <v>215</v>
      </c>
      <c r="D29" s="131">
        <f>'приложение 4'!Q204</f>
        <v>3282.6000000000004</v>
      </c>
      <c r="E29" s="131">
        <f>'приложение 4'!R204</f>
        <v>2967.8</v>
      </c>
      <c r="F29" s="131">
        <f>'приложение 4'!S204</f>
        <v>2966.8</v>
      </c>
    </row>
    <row r="30" spans="1:6" ht="63">
      <c r="A30" s="25" t="s">
        <v>888</v>
      </c>
      <c r="B30" s="277" t="s">
        <v>237</v>
      </c>
      <c r="C30" s="277" t="s">
        <v>230</v>
      </c>
      <c r="D30" s="131">
        <f>'приложение 4'!Q218</f>
        <v>2900</v>
      </c>
      <c r="E30" s="131">
        <f>'приложение 4'!R218</f>
        <v>4076</v>
      </c>
      <c r="F30" s="131">
        <f>'приложение 4'!S218</f>
        <v>2885</v>
      </c>
    </row>
    <row r="31" spans="1:6" ht="47.25">
      <c r="A31" s="25" t="s">
        <v>214</v>
      </c>
      <c r="B31" s="277" t="s">
        <v>237</v>
      </c>
      <c r="C31" s="277" t="s">
        <v>218</v>
      </c>
      <c r="D31" s="131">
        <f>'приложение 4'!Q227</f>
        <v>140</v>
      </c>
      <c r="E31" s="131">
        <f>'приложение 4'!R227</f>
        <v>223.3</v>
      </c>
      <c r="F31" s="131">
        <f>'приложение 4'!S227</f>
        <v>223.3</v>
      </c>
    </row>
    <row r="32" spans="1:6" ht="15.75">
      <c r="A32" s="23" t="s">
        <v>242</v>
      </c>
      <c r="B32" s="275" t="s">
        <v>232</v>
      </c>
      <c r="C32" s="275"/>
      <c r="D32" s="132">
        <f>SUM(D33:D35)</f>
        <v>173502.9</v>
      </c>
      <c r="E32" s="132">
        <f>SUM(E33:E35)</f>
        <v>33735.5</v>
      </c>
      <c r="F32" s="132">
        <f>SUM(F33:F35)</f>
        <v>35131.399999999994</v>
      </c>
    </row>
    <row r="33" spans="1:6" ht="15.75">
      <c r="A33" s="2" t="s">
        <v>68</v>
      </c>
      <c r="B33" s="277" t="s">
        <v>232</v>
      </c>
      <c r="C33" s="277" t="s">
        <v>219</v>
      </c>
      <c r="D33" s="131">
        <f>'приложение 4'!Q253</f>
        <v>12514.3</v>
      </c>
      <c r="E33" s="131">
        <f>'приложение 4'!R253</f>
        <v>3626.7</v>
      </c>
      <c r="F33" s="131">
        <f>'приложение 4'!S253</f>
        <v>3626.7</v>
      </c>
    </row>
    <row r="34" spans="1:6" ht="15.75">
      <c r="A34" s="25" t="s">
        <v>58</v>
      </c>
      <c r="B34" s="277" t="s">
        <v>232</v>
      </c>
      <c r="C34" s="277" t="s">
        <v>215</v>
      </c>
      <c r="D34" s="131">
        <f>'приложение 4'!Q263</f>
        <v>147460.6</v>
      </c>
      <c r="E34" s="131">
        <f>'приложение 4'!R263</f>
        <v>19875.8</v>
      </c>
      <c r="F34" s="131">
        <f>'приложение 4'!S263</f>
        <v>20743.8</v>
      </c>
    </row>
    <row r="35" spans="1:6" ht="31.5">
      <c r="A35" s="12" t="s">
        <v>210</v>
      </c>
      <c r="B35" s="277" t="s">
        <v>232</v>
      </c>
      <c r="C35" s="277" t="s">
        <v>243</v>
      </c>
      <c r="D35" s="131">
        <f>'приложение 4'!Q289</f>
        <v>13528</v>
      </c>
      <c r="E35" s="131">
        <f>'приложение 4'!R289</f>
        <v>10233</v>
      </c>
      <c r="F35" s="131">
        <f>'приложение 4'!S289</f>
        <v>10760.899999999998</v>
      </c>
    </row>
    <row r="36" spans="1:6" ht="31.5">
      <c r="A36" s="23" t="s">
        <v>244</v>
      </c>
      <c r="B36" s="275" t="s">
        <v>223</v>
      </c>
      <c r="C36" s="275"/>
      <c r="D36" s="276">
        <f>SUM(D37:D40)</f>
        <v>717533.1</v>
      </c>
      <c r="E36" s="276">
        <f>SUM(E37:E40)</f>
        <v>54161.2</v>
      </c>
      <c r="F36" s="276">
        <f>SUM(F37:F40)</f>
        <v>44199.2</v>
      </c>
    </row>
    <row r="37" spans="1:6" ht="15.75">
      <c r="A37" s="129" t="s">
        <v>260</v>
      </c>
      <c r="B37" s="277" t="s">
        <v>223</v>
      </c>
      <c r="C37" s="277" t="s">
        <v>221</v>
      </c>
      <c r="D37" s="278">
        <f>'приложение 4'!Q329</f>
        <v>610319.3999999999</v>
      </c>
      <c r="E37" s="278">
        <f>'приложение 4'!R329</f>
        <v>0</v>
      </c>
      <c r="F37" s="278">
        <f>'приложение 4'!S329</f>
        <v>0</v>
      </c>
    </row>
    <row r="38" spans="1:6" ht="15.75">
      <c r="A38" s="129" t="s">
        <v>312</v>
      </c>
      <c r="B38" s="277" t="s">
        <v>223</v>
      </c>
      <c r="C38" s="277" t="s">
        <v>236</v>
      </c>
      <c r="D38" s="278">
        <f>'приложение 4'!Q350</f>
        <v>14419.5</v>
      </c>
      <c r="E38" s="278">
        <f>'приложение 4'!R350</f>
        <v>8501.3</v>
      </c>
      <c r="F38" s="278">
        <f>'приложение 4'!S350</f>
        <v>3418</v>
      </c>
    </row>
    <row r="39" spans="1:6" ht="15.75">
      <c r="A39" s="129" t="s">
        <v>21</v>
      </c>
      <c r="B39" s="277" t="s">
        <v>223</v>
      </c>
      <c r="C39" s="277" t="s">
        <v>237</v>
      </c>
      <c r="D39" s="278">
        <f>'приложение 4'!Q406</f>
        <v>75121.4</v>
      </c>
      <c r="E39" s="278">
        <f>'приложение 4'!R406</f>
        <v>31717.899999999998</v>
      </c>
      <c r="F39" s="278">
        <f>'приложение 4'!S406</f>
        <v>28239.199999999997</v>
      </c>
    </row>
    <row r="40" spans="1:6" ht="31.5">
      <c r="A40" s="78" t="s">
        <v>263</v>
      </c>
      <c r="B40" s="277" t="s">
        <v>223</v>
      </c>
      <c r="C40" s="277" t="s">
        <v>223</v>
      </c>
      <c r="D40" s="131">
        <f>'приложение 4'!Q473</f>
        <v>17672.800000000003</v>
      </c>
      <c r="E40" s="131">
        <f>'приложение 4'!R473</f>
        <v>13942</v>
      </c>
      <c r="F40" s="131">
        <f>'приложение 4'!S473</f>
        <v>12542</v>
      </c>
    </row>
    <row r="41" spans="1:6" ht="15.75">
      <c r="A41" s="23" t="s">
        <v>245</v>
      </c>
      <c r="B41" s="275" t="s">
        <v>239</v>
      </c>
      <c r="C41" s="275"/>
      <c r="D41" s="276">
        <f>SUM(D42:D44)</f>
        <v>149106.29999999996</v>
      </c>
      <c r="E41" s="276">
        <f>SUM(E42:E44)</f>
        <v>428.7</v>
      </c>
      <c r="F41" s="276">
        <f>SUM(F42:F44)</f>
        <v>428.29999999999995</v>
      </c>
    </row>
    <row r="42" spans="1:6" ht="31.5">
      <c r="A42" s="25" t="s">
        <v>867</v>
      </c>
      <c r="B42" s="277" t="s">
        <v>239</v>
      </c>
      <c r="C42" s="277" t="s">
        <v>236</v>
      </c>
      <c r="D42" s="131">
        <f>'приложение 4'!Q511</f>
        <v>148677.59999999998</v>
      </c>
      <c r="E42" s="131">
        <f>'приложение 4'!R511</f>
        <v>0</v>
      </c>
      <c r="F42" s="131">
        <f>'приложение 4'!S511</f>
        <v>0</v>
      </c>
    </row>
    <row r="43" spans="1:6" ht="31.5">
      <c r="A43" s="28" t="s">
        <v>212</v>
      </c>
      <c r="B43" s="277" t="s">
        <v>239</v>
      </c>
      <c r="C43" s="277" t="s">
        <v>237</v>
      </c>
      <c r="D43" s="131">
        <f>'приложение 4'!Q518</f>
        <v>14.4</v>
      </c>
      <c r="E43" s="131">
        <f>'приложение 4'!R518</f>
        <v>14.4</v>
      </c>
      <c r="F43" s="131">
        <f>'приложение 4'!S518</f>
        <v>14.4</v>
      </c>
    </row>
    <row r="44" spans="1:6" ht="31.5">
      <c r="A44" s="26" t="s">
        <v>211</v>
      </c>
      <c r="B44" s="277" t="s">
        <v>239</v>
      </c>
      <c r="C44" s="277" t="s">
        <v>223</v>
      </c>
      <c r="D44" s="131">
        <f>'приложение 4'!Q523</f>
        <v>414.3</v>
      </c>
      <c r="E44" s="131">
        <f>'приложение 4'!R523</f>
        <v>414.3</v>
      </c>
      <c r="F44" s="131">
        <f>'приложение 4'!S523</f>
        <v>413.9</v>
      </c>
    </row>
    <row r="45" spans="1:6" ht="15.75">
      <c r="A45" s="23" t="s">
        <v>246</v>
      </c>
      <c r="B45" s="275" t="s">
        <v>225</v>
      </c>
      <c r="C45" s="275"/>
      <c r="D45" s="132">
        <f>SUM(D46:D50)</f>
        <v>425347.1</v>
      </c>
      <c r="E45" s="132">
        <f>SUM(E46:E50)</f>
        <v>389844.50000000006</v>
      </c>
      <c r="F45" s="132">
        <f>SUM(F46:F50)</f>
        <v>432226.8</v>
      </c>
    </row>
    <row r="46" spans="1:6" ht="15.75">
      <c r="A46" s="25" t="s">
        <v>77</v>
      </c>
      <c r="B46" s="277" t="s">
        <v>225</v>
      </c>
      <c r="C46" s="277" t="s">
        <v>221</v>
      </c>
      <c r="D46" s="131">
        <f>'приложение 4'!Q544</f>
        <v>128693.59999999999</v>
      </c>
      <c r="E46" s="131">
        <f>'приложение 4'!R544</f>
        <v>111982.5</v>
      </c>
      <c r="F46" s="131">
        <f>'приложение 4'!S544</f>
        <v>114570.3</v>
      </c>
    </row>
    <row r="47" spans="1:6" ht="15.75">
      <c r="A47" s="25" t="s">
        <v>209</v>
      </c>
      <c r="B47" s="277" t="s">
        <v>225</v>
      </c>
      <c r="C47" s="277" t="s">
        <v>236</v>
      </c>
      <c r="D47" s="131">
        <f>'приложение 4'!Q576</f>
        <v>239780.09999999998</v>
      </c>
      <c r="E47" s="131">
        <f>'приложение 4'!R576</f>
        <v>227397.90000000002</v>
      </c>
      <c r="F47" s="131">
        <f>'приложение 4'!S576</f>
        <v>234846.4</v>
      </c>
    </row>
    <row r="48" spans="1:6" ht="15.75">
      <c r="A48" s="25" t="s">
        <v>65</v>
      </c>
      <c r="B48" s="277" t="s">
        <v>225</v>
      </c>
      <c r="C48" s="277" t="s">
        <v>237</v>
      </c>
      <c r="D48" s="131">
        <f>'приложение 4'!Q633</f>
        <v>21333.399999999998</v>
      </c>
      <c r="E48" s="131">
        <f>'приложение 4'!R633</f>
        <v>22256.899999999998</v>
      </c>
      <c r="F48" s="131">
        <f>'приложение 4'!S633</f>
        <v>23303.100000000002</v>
      </c>
    </row>
    <row r="49" spans="1:6" ht="15.75">
      <c r="A49" s="25" t="s">
        <v>59</v>
      </c>
      <c r="B49" s="277" t="s">
        <v>225</v>
      </c>
      <c r="C49" s="277" t="s">
        <v>225</v>
      </c>
      <c r="D49" s="131">
        <f>'приложение 4'!Q653</f>
        <v>886</v>
      </c>
      <c r="E49" s="131">
        <f>'приложение 4'!R653</f>
        <v>319.2</v>
      </c>
      <c r="F49" s="131">
        <f>'приложение 4'!S653</f>
        <v>320</v>
      </c>
    </row>
    <row r="50" spans="1:6" ht="15.75">
      <c r="A50" s="25" t="s">
        <v>208</v>
      </c>
      <c r="B50" s="277" t="s">
        <v>225</v>
      </c>
      <c r="C50" s="277" t="s">
        <v>215</v>
      </c>
      <c r="D50" s="131">
        <f>'приложение 4'!Q670</f>
        <v>34654</v>
      </c>
      <c r="E50" s="131">
        <f>'приложение 4'!R670</f>
        <v>27888</v>
      </c>
      <c r="F50" s="131">
        <f>'приложение 4'!S670</f>
        <v>59187.00000000001</v>
      </c>
    </row>
    <row r="51" spans="1:6" ht="15.75">
      <c r="A51" s="23" t="s">
        <v>258</v>
      </c>
      <c r="B51" s="275" t="s">
        <v>219</v>
      </c>
      <c r="C51" s="275"/>
      <c r="D51" s="276">
        <f>SUM(D52)</f>
        <v>40855</v>
      </c>
      <c r="E51" s="276">
        <f>SUM(E52)</f>
        <v>35905.5</v>
      </c>
      <c r="F51" s="276">
        <f>SUM(F52)</f>
        <v>37504.5</v>
      </c>
    </row>
    <row r="52" spans="1:6" ht="15.75">
      <c r="A52" s="25" t="s">
        <v>82</v>
      </c>
      <c r="B52" s="277" t="s">
        <v>219</v>
      </c>
      <c r="C52" s="277" t="s">
        <v>221</v>
      </c>
      <c r="D52" s="131">
        <f>'приложение 4'!Q744</f>
        <v>40855</v>
      </c>
      <c r="E52" s="131">
        <f>'приложение 4'!R744</f>
        <v>35905.5</v>
      </c>
      <c r="F52" s="131">
        <f>'приложение 4'!S744</f>
        <v>37504.5</v>
      </c>
    </row>
    <row r="53" spans="1:6" ht="15.75">
      <c r="A53" s="23" t="s">
        <v>247</v>
      </c>
      <c r="B53" s="275" t="s">
        <v>215</v>
      </c>
      <c r="C53" s="277"/>
      <c r="D53" s="276">
        <f>D54</f>
        <v>248.8</v>
      </c>
      <c r="E53" s="276">
        <f>E54</f>
        <v>248.8</v>
      </c>
      <c r="F53" s="276">
        <f>F54</f>
        <v>248.8</v>
      </c>
    </row>
    <row r="54" spans="1:6" ht="31.5">
      <c r="A54" s="25" t="s">
        <v>224</v>
      </c>
      <c r="B54" s="277" t="s">
        <v>215</v>
      </c>
      <c r="C54" s="277" t="s">
        <v>225</v>
      </c>
      <c r="D54" s="278">
        <f>'приложение 4'!Q778</f>
        <v>248.8</v>
      </c>
      <c r="E54" s="278">
        <f>'приложение 4'!R778</f>
        <v>248.8</v>
      </c>
      <c r="F54" s="278">
        <f>'приложение 4'!S778</f>
        <v>248.8</v>
      </c>
    </row>
    <row r="55" spans="1:6" ht="15.75">
      <c r="A55" s="23" t="s">
        <v>248</v>
      </c>
      <c r="B55" s="275" t="s">
        <v>230</v>
      </c>
      <c r="C55" s="275"/>
      <c r="D55" s="276">
        <f>SUM(D56:D60)</f>
        <v>22838.100000000002</v>
      </c>
      <c r="E55" s="276">
        <f>SUM(E56:E60)</f>
        <v>11538.6</v>
      </c>
      <c r="F55" s="276">
        <f>SUM(F56:F60)</f>
        <v>10037.4</v>
      </c>
    </row>
    <row r="56" spans="1:6" ht="15.75">
      <c r="A56" s="26" t="s">
        <v>81</v>
      </c>
      <c r="B56" s="277" t="s">
        <v>230</v>
      </c>
      <c r="C56" s="277" t="s">
        <v>221</v>
      </c>
      <c r="D56" s="131">
        <f>'приложение 4'!Q784</f>
        <v>4130</v>
      </c>
      <c r="E56" s="131">
        <f>'приложение 4'!R784</f>
        <v>4130</v>
      </c>
      <c r="F56" s="131">
        <f>'приложение 4'!S784</f>
        <v>4130</v>
      </c>
    </row>
    <row r="57" spans="1:6" ht="15.75" hidden="1">
      <c r="A57" s="25" t="s">
        <v>80</v>
      </c>
      <c r="B57" s="277" t="s">
        <v>230</v>
      </c>
      <c r="C57" s="277" t="s">
        <v>236</v>
      </c>
      <c r="D57" s="131"/>
      <c r="E57" s="131"/>
      <c r="F57" s="131"/>
    </row>
    <row r="58" spans="1:6" ht="15.75">
      <c r="A58" s="25" t="s">
        <v>249</v>
      </c>
      <c r="B58" s="277" t="s">
        <v>230</v>
      </c>
      <c r="C58" s="277" t="s">
        <v>237</v>
      </c>
      <c r="D58" s="131">
        <f>'приложение 4'!Q798</f>
        <v>17084.7</v>
      </c>
      <c r="E58" s="131">
        <f>'приложение 4'!R798</f>
        <v>5766.2</v>
      </c>
      <c r="F58" s="131">
        <f>'приложение 4'!S798</f>
        <v>4265</v>
      </c>
    </row>
    <row r="59" spans="1:6" ht="15.75" hidden="1">
      <c r="A59" s="12" t="s">
        <v>78</v>
      </c>
      <c r="B59" s="277" t="s">
        <v>230</v>
      </c>
      <c r="C59" s="277" t="s">
        <v>232</v>
      </c>
      <c r="D59" s="131">
        <f>'приложение 5'!Q901</f>
        <v>0</v>
      </c>
      <c r="E59" s="131">
        <f>'приложение 5'!R901</f>
        <v>0</v>
      </c>
      <c r="F59" s="131">
        <f>'приложение 5'!S901</f>
        <v>0</v>
      </c>
    </row>
    <row r="60" spans="1:6" ht="31.5">
      <c r="A60" s="26" t="s">
        <v>207</v>
      </c>
      <c r="B60" s="277" t="s">
        <v>230</v>
      </c>
      <c r="C60" s="277" t="s">
        <v>239</v>
      </c>
      <c r="D60" s="131">
        <f>'приложение 4'!Q833</f>
        <v>1623.3999999999999</v>
      </c>
      <c r="E60" s="131">
        <f>'приложение 4'!R833</f>
        <v>1642.3999999999999</v>
      </c>
      <c r="F60" s="131">
        <f>'приложение 4'!S833</f>
        <v>1642.3999999999999</v>
      </c>
    </row>
    <row r="61" spans="1:6" ht="15.75">
      <c r="A61" s="27" t="s">
        <v>250</v>
      </c>
      <c r="B61" s="275" t="s">
        <v>240</v>
      </c>
      <c r="C61" s="275"/>
      <c r="D61" s="276">
        <f>SUM(D62:D64)</f>
        <v>26148.1</v>
      </c>
      <c r="E61" s="276">
        <f>SUM(E62:E64)</f>
        <v>17023.7</v>
      </c>
      <c r="F61" s="276">
        <f>SUM(F62:F64)</f>
        <v>17574</v>
      </c>
    </row>
    <row r="62" spans="1:6" ht="15.75">
      <c r="A62" s="28" t="s">
        <v>251</v>
      </c>
      <c r="B62" s="277" t="s">
        <v>240</v>
      </c>
      <c r="C62" s="277" t="s">
        <v>221</v>
      </c>
      <c r="D62" s="131">
        <f>'приложение 4'!Q848</f>
        <v>26148.1</v>
      </c>
      <c r="E62" s="131">
        <f>'приложение 4'!R848</f>
        <v>17023.7</v>
      </c>
      <c r="F62" s="131">
        <f>'приложение 4'!S848</f>
        <v>17574</v>
      </c>
    </row>
    <row r="63" spans="1:6" ht="15.75" hidden="1">
      <c r="A63" s="28" t="s">
        <v>252</v>
      </c>
      <c r="B63" s="277" t="s">
        <v>240</v>
      </c>
      <c r="C63" s="277" t="s">
        <v>236</v>
      </c>
      <c r="D63" s="131">
        <v>0</v>
      </c>
      <c r="E63" s="131">
        <v>0</v>
      </c>
      <c r="F63" s="131">
        <v>0</v>
      </c>
    </row>
    <row r="64" spans="1:6" ht="31.5" hidden="1">
      <c r="A64" s="28" t="s">
        <v>253</v>
      </c>
      <c r="B64" s="277" t="s">
        <v>240</v>
      </c>
      <c r="C64" s="277" t="s">
        <v>223</v>
      </c>
      <c r="D64" s="131">
        <v>0</v>
      </c>
      <c r="E64" s="131">
        <v>0</v>
      </c>
      <c r="F64" s="131">
        <v>0</v>
      </c>
    </row>
    <row r="65" spans="1:6" ht="47.25" hidden="1">
      <c r="A65" s="27" t="s">
        <v>254</v>
      </c>
      <c r="B65" s="275" t="s">
        <v>241</v>
      </c>
      <c r="C65" s="275"/>
      <c r="D65" s="132">
        <f>SUM(D66)</f>
        <v>0</v>
      </c>
      <c r="E65" s="132">
        <f>SUM(E66)</f>
        <v>0</v>
      </c>
      <c r="F65" s="132">
        <f>SUM(F66)</f>
        <v>0</v>
      </c>
    </row>
    <row r="66" spans="1:6" ht="31.5" hidden="1">
      <c r="A66" s="28" t="s">
        <v>457</v>
      </c>
      <c r="B66" s="277" t="s">
        <v>241</v>
      </c>
      <c r="C66" s="277" t="s">
        <v>221</v>
      </c>
      <c r="D66" s="278">
        <v>0</v>
      </c>
      <c r="E66" s="278">
        <v>0</v>
      </c>
      <c r="F66" s="278">
        <v>0</v>
      </c>
    </row>
    <row r="67" spans="1:6" ht="31.5">
      <c r="A67" s="27" t="s">
        <v>964</v>
      </c>
      <c r="B67" s="275" t="s">
        <v>243</v>
      </c>
      <c r="C67" s="275"/>
      <c r="D67" s="276">
        <f>D68</f>
        <v>2200</v>
      </c>
      <c r="E67" s="276">
        <f>E68</f>
        <v>2400</v>
      </c>
      <c r="F67" s="276">
        <f>F68</f>
        <v>2400</v>
      </c>
    </row>
    <row r="68" spans="1:6" ht="15.75">
      <c r="A68" s="28" t="s">
        <v>965</v>
      </c>
      <c r="B68" s="277" t="s">
        <v>243</v>
      </c>
      <c r="C68" s="277" t="s">
        <v>236</v>
      </c>
      <c r="D68" s="131">
        <f>'приложение 4'!Q880</f>
        <v>2200</v>
      </c>
      <c r="E68" s="131">
        <f>'приложение 4'!R880</f>
        <v>2400</v>
      </c>
      <c r="F68" s="131">
        <f>'приложение 4'!S880</f>
        <v>2400</v>
      </c>
    </row>
    <row r="69" spans="1:6" ht="15.75">
      <c r="A69" s="23" t="s">
        <v>255</v>
      </c>
      <c r="B69" s="275"/>
      <c r="C69" s="275"/>
      <c r="D69" s="276">
        <f>D17+D26+D28+D32+D36+D41+D45+D51+D53+D55+D61+D65+D67</f>
        <v>1707440.5000000002</v>
      </c>
      <c r="E69" s="276">
        <f>E17+E26+E28+E32+E36+E41+E45+E51+E53+E55+E61+E65+E67</f>
        <v>690425.3</v>
      </c>
      <c r="F69" s="276">
        <f>F17+F26+F28+F32+F36+F41+F45+F51+F53+F55+F61+F65+F67</f>
        <v>723310.7000000001</v>
      </c>
    </row>
    <row r="70" spans="1:6" ht="15.75">
      <c r="A70" s="23" t="s">
        <v>363</v>
      </c>
      <c r="B70" s="389"/>
      <c r="C70" s="389"/>
      <c r="D70" s="276" t="s">
        <v>262</v>
      </c>
      <c r="E70" s="276">
        <f>'приложение 5'!R1097</f>
        <v>9900</v>
      </c>
      <c r="F70" s="276">
        <f>'приложение 5'!S1097</f>
        <v>21000</v>
      </c>
    </row>
    <row r="71" spans="1:6" ht="15.75">
      <c r="A71" s="23" t="s">
        <v>364</v>
      </c>
      <c r="B71" s="389"/>
      <c r="C71" s="389"/>
      <c r="D71" s="390">
        <f>D69</f>
        <v>1707440.5000000002</v>
      </c>
      <c r="E71" s="276">
        <f>E69+E70</f>
        <v>700325.3</v>
      </c>
      <c r="F71" s="276">
        <f>F69+F70</f>
        <v>744310.7000000001</v>
      </c>
    </row>
    <row r="72" spans="1:6" ht="15.75">
      <c r="A72" s="391"/>
      <c r="B72" s="392"/>
      <c r="C72" s="392"/>
      <c r="D72" s="393"/>
      <c r="E72" s="394"/>
      <c r="F72" s="393" t="s">
        <v>202</v>
      </c>
    </row>
    <row r="73" spans="1:6" ht="15.75">
      <c r="A73" s="395"/>
      <c r="B73" s="396"/>
      <c r="C73" s="396"/>
      <c r="D73" s="396"/>
      <c r="E73" s="396"/>
      <c r="F73" s="396"/>
    </row>
    <row r="74" spans="1:6" ht="15.75">
      <c r="A74" s="395"/>
      <c r="B74" s="396"/>
      <c r="C74" s="396"/>
      <c r="D74" s="396"/>
      <c r="E74" s="396"/>
      <c r="F74" s="396"/>
    </row>
    <row r="75" ht="15.75">
      <c r="A75" s="395"/>
    </row>
    <row r="76" ht="15.75">
      <c r="A76" s="395"/>
    </row>
    <row r="77" ht="15.75">
      <c r="A77" s="395"/>
    </row>
    <row r="78" ht="15.75">
      <c r="A78" s="395"/>
    </row>
    <row r="79" ht="15.75">
      <c r="A79" s="395"/>
    </row>
    <row r="80" ht="15.75">
      <c r="A80" s="395"/>
    </row>
    <row r="81" spans="1:6" s="388" customFormat="1" ht="15.75">
      <c r="A81" s="395"/>
      <c r="B81" s="211"/>
      <c r="C81" s="211"/>
      <c r="D81" s="24"/>
      <c r="E81" s="24"/>
      <c r="F81" s="24"/>
    </row>
    <row r="82" spans="1:6" s="388" customFormat="1" ht="15.75">
      <c r="A82" s="395"/>
      <c r="B82" s="211"/>
      <c r="C82" s="211"/>
      <c r="D82" s="24"/>
      <c r="E82" s="24"/>
      <c r="F82" s="24"/>
    </row>
    <row r="83" spans="1:6" s="388" customFormat="1" ht="15.75">
      <c r="A83" s="395"/>
      <c r="B83" s="211"/>
      <c r="C83" s="211"/>
      <c r="D83" s="24"/>
      <c r="E83" s="24"/>
      <c r="F83" s="24"/>
    </row>
    <row r="84" spans="1:6" s="388" customFormat="1" ht="15.75">
      <c r="A84" s="395"/>
      <c r="B84" s="211"/>
      <c r="C84" s="211"/>
      <c r="D84" s="24"/>
      <c r="E84" s="24"/>
      <c r="F84" s="24"/>
    </row>
    <row r="85" spans="1:6" s="388" customFormat="1" ht="15.75">
      <c r="A85" s="395"/>
      <c r="B85" s="211"/>
      <c r="C85" s="211"/>
      <c r="D85" s="24"/>
      <c r="E85" s="24"/>
      <c r="F85" s="24"/>
    </row>
    <row r="86" ht="15.75">
      <c r="A86" s="395"/>
    </row>
    <row r="87" spans="1:6" s="388" customFormat="1" ht="15.75">
      <c r="A87" s="395"/>
      <c r="B87" s="211"/>
      <c r="C87" s="211"/>
      <c r="D87" s="24"/>
      <c r="E87" s="24"/>
      <c r="F87" s="24"/>
    </row>
    <row r="88" spans="1:6" s="388" customFormat="1" ht="15.75">
      <c r="A88" s="377"/>
      <c r="B88" s="211"/>
      <c r="C88" s="211"/>
      <c r="D88" s="24"/>
      <c r="E88" s="24"/>
      <c r="F88" s="24"/>
    </row>
  </sheetData>
  <sheetProtection/>
  <mergeCells count="6">
    <mergeCell ref="E13:F13"/>
    <mergeCell ref="A14:A15"/>
    <mergeCell ref="B14:B15"/>
    <mergeCell ref="C14:C15"/>
    <mergeCell ref="D14:F14"/>
    <mergeCell ref="A12:F12"/>
  </mergeCells>
  <printOptions/>
  <pageMargins left="0.75" right="0.52" top="0.46" bottom="0.45" header="0.5" footer="0.5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6"/>
  <sheetViews>
    <sheetView showGridLines="0" zoomScale="80" zoomScaleNormal="80" zoomScaleSheetLayoutView="100" workbookViewId="0" topLeftCell="E857">
      <selection activeCell="H870" sqref="H870"/>
    </sheetView>
  </sheetViews>
  <sheetFormatPr defaultColWidth="9.140625" defaultRowHeight="15"/>
  <cols>
    <col min="1" max="4" width="0" style="21" hidden="1" customWidth="1"/>
    <col min="5" max="5" width="5.28125" style="21" customWidth="1"/>
    <col min="6" max="6" width="2.28125" style="21" hidden="1" customWidth="1"/>
    <col min="7" max="7" width="2.8515625" style="21" hidden="1" customWidth="1"/>
    <col min="8" max="8" width="113.140625" style="171" customWidth="1"/>
    <col min="9" max="9" width="6.140625" style="171" hidden="1" customWidth="1"/>
    <col min="10" max="10" width="5.140625" style="109" customWidth="1"/>
    <col min="11" max="11" width="5.00390625" style="109" customWidth="1"/>
    <col min="12" max="12" width="5.7109375" style="172" customWidth="1"/>
    <col min="13" max="14" width="4.28125" style="172" customWidth="1"/>
    <col min="15" max="15" width="12.421875" style="172" customWidth="1"/>
    <col min="16" max="16" width="9.140625" style="109" customWidth="1"/>
    <col min="17" max="17" width="26.140625" style="30" customWidth="1"/>
    <col min="18" max="18" width="19.140625" style="173" customWidth="1"/>
    <col min="19" max="19" width="20.7109375" style="173" customWidth="1"/>
    <col min="20" max="16384" width="9.140625" style="21" customWidth="1"/>
  </cols>
  <sheetData>
    <row r="1" spans="16:19" ht="15.75">
      <c r="P1" s="24" t="s">
        <v>478</v>
      </c>
      <c r="Q1" s="24"/>
      <c r="R1" s="24"/>
      <c r="S1" s="24"/>
    </row>
    <row r="2" spans="16:19" ht="15.75">
      <c r="P2" s="24" t="s">
        <v>474</v>
      </c>
      <c r="Q2" s="24"/>
      <c r="R2" s="24"/>
      <c r="S2" s="24"/>
    </row>
    <row r="3" spans="16:19" ht="15.75">
      <c r="P3" s="24" t="s">
        <v>1118</v>
      </c>
      <c r="Q3" s="24"/>
      <c r="R3" s="24"/>
      <c r="S3" s="24"/>
    </row>
    <row r="4" spans="8:19" ht="15.75">
      <c r="H4" s="32"/>
      <c r="I4" s="32"/>
      <c r="J4" s="438" t="s">
        <v>1087</v>
      </c>
      <c r="K4" s="438"/>
      <c r="L4" s="438"/>
      <c r="M4" s="438"/>
      <c r="N4" s="438"/>
      <c r="O4" s="438"/>
      <c r="P4" s="438"/>
      <c r="Q4" s="438"/>
      <c r="R4" s="438"/>
      <c r="S4" s="438"/>
    </row>
    <row r="5" spans="1:19" ht="15.75">
      <c r="A5" s="31"/>
      <c r="B5" s="31"/>
      <c r="C5" s="31"/>
      <c r="D5" s="31"/>
      <c r="E5" s="31"/>
      <c r="F5" s="31"/>
      <c r="G5" s="31"/>
      <c r="H5" s="32"/>
      <c r="I5" s="32"/>
      <c r="J5" s="438" t="s">
        <v>483</v>
      </c>
      <c r="K5" s="438"/>
      <c r="L5" s="438"/>
      <c r="M5" s="438"/>
      <c r="N5" s="438"/>
      <c r="O5" s="438"/>
      <c r="P5" s="438"/>
      <c r="Q5" s="438"/>
      <c r="R5" s="438"/>
      <c r="S5" s="438"/>
    </row>
    <row r="6" spans="1:19" ht="15.75">
      <c r="A6" s="31"/>
      <c r="B6" s="31"/>
      <c r="C6" s="31"/>
      <c r="D6" s="31"/>
      <c r="E6" s="31"/>
      <c r="F6" s="31"/>
      <c r="G6" s="31"/>
      <c r="H6" s="32"/>
      <c r="I6" s="32"/>
      <c r="J6" s="438" t="s">
        <v>994</v>
      </c>
      <c r="K6" s="438"/>
      <c r="L6" s="438"/>
      <c r="M6" s="438"/>
      <c r="N6" s="438"/>
      <c r="O6" s="438"/>
      <c r="P6" s="438"/>
      <c r="Q6" s="438"/>
      <c r="R6" s="438"/>
      <c r="S6" s="438"/>
    </row>
    <row r="7" spans="1:19" ht="15.75">
      <c r="A7" s="31"/>
      <c r="B7" s="31"/>
      <c r="C7" s="31"/>
      <c r="D7" s="31"/>
      <c r="E7" s="31"/>
      <c r="F7" s="31"/>
      <c r="G7" s="31"/>
      <c r="H7" s="32"/>
      <c r="I7" s="32"/>
      <c r="J7" s="439" t="s">
        <v>995</v>
      </c>
      <c r="K7" s="439"/>
      <c r="L7" s="439"/>
      <c r="M7" s="439"/>
      <c r="N7" s="439"/>
      <c r="O7" s="439"/>
      <c r="P7" s="439"/>
      <c r="Q7" s="439"/>
      <c r="R7" s="439"/>
      <c r="S7" s="439"/>
    </row>
    <row r="8" spans="1:19" ht="15.75">
      <c r="A8" s="38"/>
      <c r="B8" s="38"/>
      <c r="C8" s="38"/>
      <c r="D8" s="38"/>
      <c r="E8" s="38"/>
      <c r="F8" s="38"/>
      <c r="G8" s="38"/>
      <c r="H8" s="32" t="s">
        <v>262</v>
      </c>
      <c r="I8" s="32"/>
      <c r="J8" s="440" t="s">
        <v>1029</v>
      </c>
      <c r="K8" s="440"/>
      <c r="L8" s="440"/>
      <c r="M8" s="440"/>
      <c r="N8" s="440"/>
      <c r="O8" s="440"/>
      <c r="P8" s="440"/>
      <c r="Q8" s="440"/>
      <c r="R8" s="440"/>
      <c r="S8" s="440"/>
    </row>
    <row r="9" spans="1:19" ht="16.5" thickBot="1">
      <c r="A9" s="40"/>
      <c r="B9" s="40"/>
      <c r="C9" s="40"/>
      <c r="D9" s="40"/>
      <c r="E9" s="40"/>
      <c r="F9" s="40"/>
      <c r="G9" s="40"/>
      <c r="H9" s="32"/>
      <c r="I9" s="32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47.25">
      <c r="A10" s="41"/>
      <c r="B10" s="41" t="s">
        <v>200</v>
      </c>
      <c r="C10" s="42" t="s">
        <v>199</v>
      </c>
      <c r="D10" s="42" t="s">
        <v>198</v>
      </c>
      <c r="E10" s="42"/>
      <c r="F10" s="42" t="s">
        <v>196</v>
      </c>
      <c r="G10" s="42" t="s">
        <v>195</v>
      </c>
      <c r="H10" s="441" t="s">
        <v>996</v>
      </c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</row>
    <row r="11" spans="17:19" ht="15.75">
      <c r="Q11" s="21"/>
      <c r="R11" s="30"/>
      <c r="S11" s="173" t="s">
        <v>1003</v>
      </c>
    </row>
    <row r="12" spans="8:19" ht="15.75">
      <c r="H12" s="442" t="s">
        <v>194</v>
      </c>
      <c r="I12" s="335"/>
      <c r="J12" s="443" t="s">
        <v>192</v>
      </c>
      <c r="K12" s="445" t="s">
        <v>191</v>
      </c>
      <c r="L12" s="450" t="s">
        <v>190</v>
      </c>
      <c r="M12" s="451"/>
      <c r="N12" s="451"/>
      <c r="O12" s="452"/>
      <c r="P12" s="445" t="s">
        <v>189</v>
      </c>
      <c r="Q12" s="435" t="s">
        <v>1002</v>
      </c>
      <c r="R12" s="436"/>
      <c r="S12" s="437"/>
    </row>
    <row r="13" spans="8:19" ht="15.75">
      <c r="H13" s="442"/>
      <c r="I13" s="336"/>
      <c r="J13" s="444"/>
      <c r="K13" s="446"/>
      <c r="L13" s="453"/>
      <c r="M13" s="454"/>
      <c r="N13" s="454"/>
      <c r="O13" s="455"/>
      <c r="P13" s="446"/>
      <c r="Q13" s="137" t="s">
        <v>463</v>
      </c>
      <c r="R13" s="137" t="s">
        <v>481</v>
      </c>
      <c r="S13" s="137" t="s">
        <v>993</v>
      </c>
    </row>
    <row r="14" spans="8:19" ht="15.75">
      <c r="H14" s="46">
        <v>1</v>
      </c>
      <c r="I14" s="337"/>
      <c r="J14" s="48">
        <v>3</v>
      </c>
      <c r="K14" s="46">
        <v>4</v>
      </c>
      <c r="L14" s="447">
        <v>5</v>
      </c>
      <c r="M14" s="448"/>
      <c r="N14" s="448"/>
      <c r="O14" s="449"/>
      <c r="P14" s="46">
        <v>6</v>
      </c>
      <c r="Q14" s="49">
        <v>7</v>
      </c>
      <c r="R14" s="175">
        <v>8</v>
      </c>
      <c r="S14" s="175">
        <v>9</v>
      </c>
    </row>
    <row r="15" spans="8:19" ht="17.25">
      <c r="H15" s="227" t="s">
        <v>235</v>
      </c>
      <c r="I15" s="297"/>
      <c r="J15" s="241">
        <v>1</v>
      </c>
      <c r="K15" s="231" t="s">
        <v>262</v>
      </c>
      <c r="L15" s="232"/>
      <c r="M15" s="233"/>
      <c r="N15" s="233"/>
      <c r="O15" s="233"/>
      <c r="P15" s="242"/>
      <c r="Q15" s="243">
        <f>Q16+Q23+Q30+Q60+Q65+Q93+Q97</f>
        <v>142137.69999999998</v>
      </c>
      <c r="R15" s="243">
        <f>R16+R23+R30+R60+R65+R93+R97</f>
        <v>136551.7</v>
      </c>
      <c r="S15" s="243">
        <f>S16+S23+S30+S60+S65+S93+S97</f>
        <v>136044</v>
      </c>
    </row>
    <row r="16" spans="8:19" ht="31.5">
      <c r="H16" s="225" t="s">
        <v>226</v>
      </c>
      <c r="I16" s="306"/>
      <c r="J16" s="94">
        <v>1</v>
      </c>
      <c r="K16" s="86">
        <v>2</v>
      </c>
      <c r="L16" s="87"/>
      <c r="M16" s="88"/>
      <c r="N16" s="88"/>
      <c r="O16" s="88"/>
      <c r="P16" s="93"/>
      <c r="Q16" s="127">
        <f aca="true" t="shared" si="0" ref="Q16:S17">Q17</f>
        <v>2574.7</v>
      </c>
      <c r="R16" s="127">
        <f t="shared" si="0"/>
        <v>2299.9</v>
      </c>
      <c r="S16" s="127">
        <f t="shared" si="0"/>
        <v>2299.9</v>
      </c>
    </row>
    <row r="17" spans="8:19" ht="31.5">
      <c r="H17" s="2" t="s">
        <v>522</v>
      </c>
      <c r="I17" s="263"/>
      <c r="J17" s="4">
        <v>1</v>
      </c>
      <c r="K17" s="11">
        <v>2</v>
      </c>
      <c r="L17" s="57" t="s">
        <v>494</v>
      </c>
      <c r="M17" s="58" t="s">
        <v>220</v>
      </c>
      <c r="N17" s="58" t="s">
        <v>229</v>
      </c>
      <c r="O17" s="58" t="s">
        <v>261</v>
      </c>
      <c r="P17" s="3"/>
      <c r="Q17" s="126">
        <f t="shared" si="0"/>
        <v>2574.7</v>
      </c>
      <c r="R17" s="126">
        <f t="shared" si="0"/>
        <v>2299.9</v>
      </c>
      <c r="S17" s="126">
        <f t="shared" si="0"/>
        <v>2299.9</v>
      </c>
    </row>
    <row r="18" spans="8:19" ht="31.5">
      <c r="H18" s="2" t="s">
        <v>523</v>
      </c>
      <c r="I18" s="263"/>
      <c r="J18" s="4">
        <v>1</v>
      </c>
      <c r="K18" s="11">
        <v>2</v>
      </c>
      <c r="L18" s="57" t="s">
        <v>494</v>
      </c>
      <c r="M18" s="58" t="s">
        <v>220</v>
      </c>
      <c r="N18" s="58" t="s">
        <v>221</v>
      </c>
      <c r="O18" s="58" t="s">
        <v>261</v>
      </c>
      <c r="P18" s="3"/>
      <c r="Q18" s="126">
        <f>Q19+Q21</f>
        <v>2574.7</v>
      </c>
      <c r="R18" s="126">
        <f>R19+R21</f>
        <v>2299.9</v>
      </c>
      <c r="S18" s="126">
        <f>S19+S21</f>
        <v>2299.9</v>
      </c>
    </row>
    <row r="19" spans="8:19" ht="18.75">
      <c r="H19" s="2" t="s">
        <v>60</v>
      </c>
      <c r="I19" s="263"/>
      <c r="J19" s="4">
        <v>1</v>
      </c>
      <c r="K19" s="11">
        <v>2</v>
      </c>
      <c r="L19" s="57" t="s">
        <v>494</v>
      </c>
      <c r="M19" s="58" t="s">
        <v>220</v>
      </c>
      <c r="N19" s="58" t="s">
        <v>221</v>
      </c>
      <c r="O19" s="58" t="s">
        <v>264</v>
      </c>
      <c r="P19" s="3"/>
      <c r="Q19" s="126">
        <f>Q20</f>
        <v>1647.8</v>
      </c>
      <c r="R19" s="126">
        <f>R20</f>
        <v>1373</v>
      </c>
      <c r="S19" s="126">
        <f>S20</f>
        <v>1373</v>
      </c>
    </row>
    <row r="20" spans="8:19" ht="18.75">
      <c r="H20" s="2" t="s">
        <v>204</v>
      </c>
      <c r="I20" s="263"/>
      <c r="J20" s="4">
        <v>1</v>
      </c>
      <c r="K20" s="11">
        <v>2</v>
      </c>
      <c r="L20" s="57" t="s">
        <v>494</v>
      </c>
      <c r="M20" s="58" t="s">
        <v>220</v>
      </c>
      <c r="N20" s="58" t="s">
        <v>221</v>
      </c>
      <c r="O20" s="58" t="s">
        <v>264</v>
      </c>
      <c r="P20" s="3">
        <v>120</v>
      </c>
      <c r="Q20" s="126">
        <f>'приложение 5'!Q40</f>
        <v>1647.8</v>
      </c>
      <c r="R20" s="126">
        <f>'приложение 5'!R40</f>
        <v>1373</v>
      </c>
      <c r="S20" s="126">
        <f>'приложение 5'!S40</f>
        <v>1373</v>
      </c>
    </row>
    <row r="21" spans="8:19" ht="31.5">
      <c r="H21" s="2" t="s">
        <v>374</v>
      </c>
      <c r="I21" s="263"/>
      <c r="J21" s="4">
        <v>1</v>
      </c>
      <c r="K21" s="11">
        <v>2</v>
      </c>
      <c r="L21" s="57" t="s">
        <v>494</v>
      </c>
      <c r="M21" s="58" t="s">
        <v>220</v>
      </c>
      <c r="N21" s="58" t="s">
        <v>221</v>
      </c>
      <c r="O21" s="58" t="s">
        <v>373</v>
      </c>
      <c r="P21" s="3"/>
      <c r="Q21" s="126">
        <f>Q22</f>
        <v>926.9</v>
      </c>
      <c r="R21" s="126">
        <f>R22</f>
        <v>926.9</v>
      </c>
      <c r="S21" s="126">
        <f>S22</f>
        <v>926.9</v>
      </c>
    </row>
    <row r="22" spans="8:19" ht="18.75">
      <c r="H22" s="2" t="s">
        <v>204</v>
      </c>
      <c r="I22" s="263"/>
      <c r="J22" s="4">
        <v>1</v>
      </c>
      <c r="K22" s="11">
        <v>2</v>
      </c>
      <c r="L22" s="57" t="s">
        <v>494</v>
      </c>
      <c r="M22" s="58" t="s">
        <v>220</v>
      </c>
      <c r="N22" s="58" t="s">
        <v>221</v>
      </c>
      <c r="O22" s="58" t="s">
        <v>373</v>
      </c>
      <c r="P22" s="3">
        <v>120</v>
      </c>
      <c r="Q22" s="126">
        <f>'приложение 5'!Q42</f>
        <v>926.9</v>
      </c>
      <c r="R22" s="126">
        <f>'приложение 5'!R42</f>
        <v>926.9</v>
      </c>
      <c r="S22" s="126">
        <f>'приложение 5'!S42</f>
        <v>926.9</v>
      </c>
    </row>
    <row r="23" spans="8:19" ht="31.5">
      <c r="H23" s="96" t="s">
        <v>187</v>
      </c>
      <c r="I23" s="338"/>
      <c r="J23" s="86">
        <v>1</v>
      </c>
      <c r="K23" s="86">
        <v>3</v>
      </c>
      <c r="L23" s="87"/>
      <c r="M23" s="88"/>
      <c r="N23" s="88"/>
      <c r="O23" s="88"/>
      <c r="P23" s="85"/>
      <c r="Q23" s="123">
        <f>Q24</f>
        <v>3047.3</v>
      </c>
      <c r="R23" s="123">
        <f>R24</f>
        <v>3129.5</v>
      </c>
      <c r="S23" s="123">
        <f>S24</f>
        <v>3129.5</v>
      </c>
    </row>
    <row r="24" spans="8:19" ht="18.75">
      <c r="H24" s="2" t="s">
        <v>227</v>
      </c>
      <c r="I24" s="263"/>
      <c r="J24" s="11">
        <v>1</v>
      </c>
      <c r="K24" s="11">
        <v>3</v>
      </c>
      <c r="L24" s="57" t="s">
        <v>228</v>
      </c>
      <c r="M24" s="58" t="s">
        <v>220</v>
      </c>
      <c r="N24" s="58" t="s">
        <v>229</v>
      </c>
      <c r="O24" s="58" t="s">
        <v>261</v>
      </c>
      <c r="P24" s="7"/>
      <c r="Q24" s="124">
        <f>Q25+Q28</f>
        <v>3047.3</v>
      </c>
      <c r="R24" s="124">
        <f>R25+R28</f>
        <v>3129.5</v>
      </c>
      <c r="S24" s="124">
        <f>S25+S28</f>
        <v>3129.5</v>
      </c>
    </row>
    <row r="25" spans="8:19" ht="18.75">
      <c r="H25" s="2" t="s">
        <v>60</v>
      </c>
      <c r="I25" s="263"/>
      <c r="J25" s="11">
        <v>1</v>
      </c>
      <c r="K25" s="11">
        <v>3</v>
      </c>
      <c r="L25" s="11">
        <v>92</v>
      </c>
      <c r="M25" s="58" t="s">
        <v>220</v>
      </c>
      <c r="N25" s="58" t="s">
        <v>229</v>
      </c>
      <c r="O25" s="58" t="s">
        <v>264</v>
      </c>
      <c r="P25" s="7"/>
      <c r="Q25" s="124">
        <f>Q26+Q27</f>
        <v>1965.2</v>
      </c>
      <c r="R25" s="124">
        <f>R26+R27</f>
        <v>2047.4</v>
      </c>
      <c r="S25" s="124">
        <f>S26+S27</f>
        <v>2047.4</v>
      </c>
    </row>
    <row r="26" spans="8:19" ht="18.75">
      <c r="H26" s="2" t="s">
        <v>204</v>
      </c>
      <c r="I26" s="263"/>
      <c r="J26" s="11">
        <v>1</v>
      </c>
      <c r="K26" s="11">
        <v>3</v>
      </c>
      <c r="L26" s="11">
        <v>92</v>
      </c>
      <c r="M26" s="58" t="s">
        <v>220</v>
      </c>
      <c r="N26" s="58" t="s">
        <v>229</v>
      </c>
      <c r="O26" s="58" t="s">
        <v>264</v>
      </c>
      <c r="P26" s="7">
        <v>120</v>
      </c>
      <c r="Q26" s="124">
        <f>'приложение 5'!Q20</f>
        <v>1463.7</v>
      </c>
      <c r="R26" s="124">
        <f>'приложение 5'!R20</f>
        <v>1642.9</v>
      </c>
      <c r="S26" s="124">
        <f>'приложение 5'!S20</f>
        <v>1642.9</v>
      </c>
    </row>
    <row r="27" spans="8:19" ht="18.75">
      <c r="H27" s="2" t="s">
        <v>299</v>
      </c>
      <c r="I27" s="263"/>
      <c r="J27" s="11">
        <v>1</v>
      </c>
      <c r="K27" s="11">
        <v>3</v>
      </c>
      <c r="L27" s="11">
        <v>92</v>
      </c>
      <c r="M27" s="58" t="s">
        <v>220</v>
      </c>
      <c r="N27" s="58" t="s">
        <v>229</v>
      </c>
      <c r="O27" s="58" t="s">
        <v>264</v>
      </c>
      <c r="P27" s="7">
        <v>240</v>
      </c>
      <c r="Q27" s="124">
        <f>'приложение 5'!Q21</f>
        <v>501.5</v>
      </c>
      <c r="R27" s="124">
        <f>'приложение 5'!R21</f>
        <v>404.5</v>
      </c>
      <c r="S27" s="124">
        <f>'приложение 5'!S21</f>
        <v>404.5</v>
      </c>
    </row>
    <row r="28" spans="8:19" ht="31.5">
      <c r="H28" s="2" t="s">
        <v>374</v>
      </c>
      <c r="I28" s="263"/>
      <c r="J28" s="11">
        <v>1</v>
      </c>
      <c r="K28" s="11">
        <v>3</v>
      </c>
      <c r="L28" s="11">
        <v>92</v>
      </c>
      <c r="M28" s="58" t="s">
        <v>220</v>
      </c>
      <c r="N28" s="58" t="s">
        <v>229</v>
      </c>
      <c r="O28" s="58" t="s">
        <v>373</v>
      </c>
      <c r="P28" s="7"/>
      <c r="Q28" s="124">
        <f>Q29</f>
        <v>1082.1</v>
      </c>
      <c r="R28" s="124">
        <f>R29</f>
        <v>1082.1</v>
      </c>
      <c r="S28" s="124">
        <f>S29</f>
        <v>1082.1</v>
      </c>
    </row>
    <row r="29" spans="8:19" ht="18.75">
      <c r="H29" s="2" t="s">
        <v>204</v>
      </c>
      <c r="I29" s="263"/>
      <c r="J29" s="11">
        <v>1</v>
      </c>
      <c r="K29" s="11">
        <v>3</v>
      </c>
      <c r="L29" s="11">
        <v>92</v>
      </c>
      <c r="M29" s="58" t="s">
        <v>220</v>
      </c>
      <c r="N29" s="58" t="s">
        <v>229</v>
      </c>
      <c r="O29" s="58" t="s">
        <v>373</v>
      </c>
      <c r="P29" s="3">
        <v>120</v>
      </c>
      <c r="Q29" s="124">
        <f>'приложение 5'!Q23</f>
        <v>1082.1</v>
      </c>
      <c r="R29" s="124">
        <f>'приложение 5'!R23</f>
        <v>1082.1</v>
      </c>
      <c r="S29" s="124">
        <f>'приложение 5'!S23</f>
        <v>1082.1</v>
      </c>
    </row>
    <row r="30" spans="8:19" ht="31.5">
      <c r="H30" s="225" t="s">
        <v>238</v>
      </c>
      <c r="I30" s="306"/>
      <c r="J30" s="95">
        <v>1</v>
      </c>
      <c r="K30" s="86">
        <v>4</v>
      </c>
      <c r="L30" s="87"/>
      <c r="M30" s="88"/>
      <c r="N30" s="88"/>
      <c r="O30" s="88"/>
      <c r="P30" s="93"/>
      <c r="Q30" s="127">
        <f>Q31</f>
        <v>40632.7</v>
      </c>
      <c r="R30" s="127">
        <f>R31</f>
        <v>48172.899999999994</v>
      </c>
      <c r="S30" s="127">
        <f>S31</f>
        <v>47659.59999999999</v>
      </c>
    </row>
    <row r="31" spans="8:19" ht="31.5">
      <c r="H31" s="2" t="s">
        <v>522</v>
      </c>
      <c r="I31" s="263"/>
      <c r="J31" s="4">
        <v>1</v>
      </c>
      <c r="K31" s="11">
        <v>4</v>
      </c>
      <c r="L31" s="57" t="s">
        <v>494</v>
      </c>
      <c r="M31" s="58" t="s">
        <v>220</v>
      </c>
      <c r="N31" s="58" t="s">
        <v>229</v>
      </c>
      <c r="O31" s="58" t="s">
        <v>261</v>
      </c>
      <c r="P31" s="3"/>
      <c r="Q31" s="126">
        <f>Q32+Q39+Q46+Q53</f>
        <v>40632.7</v>
      </c>
      <c r="R31" s="126">
        <f>R32+R39+R46+R53</f>
        <v>48172.899999999994</v>
      </c>
      <c r="S31" s="126">
        <f>S32+S39+S46+S53</f>
        <v>47659.59999999999</v>
      </c>
    </row>
    <row r="32" spans="8:19" ht="31.5">
      <c r="H32" s="2" t="s">
        <v>523</v>
      </c>
      <c r="I32" s="263"/>
      <c r="J32" s="4">
        <v>1</v>
      </c>
      <c r="K32" s="11">
        <v>4</v>
      </c>
      <c r="L32" s="57" t="s">
        <v>494</v>
      </c>
      <c r="M32" s="58" t="s">
        <v>220</v>
      </c>
      <c r="N32" s="58" t="s">
        <v>221</v>
      </c>
      <c r="O32" s="58" t="s">
        <v>261</v>
      </c>
      <c r="P32" s="3"/>
      <c r="Q32" s="126">
        <f>Q33+Q37</f>
        <v>24302.4</v>
      </c>
      <c r="R32" s="126">
        <f>R33+R37</f>
        <v>30489.6</v>
      </c>
      <c r="S32" s="126">
        <f>S33+S37</f>
        <v>30359.6</v>
      </c>
    </row>
    <row r="33" spans="8:19" ht="18.75">
      <c r="H33" s="2" t="s">
        <v>60</v>
      </c>
      <c r="I33" s="263"/>
      <c r="J33" s="4">
        <v>1</v>
      </c>
      <c r="K33" s="11">
        <v>4</v>
      </c>
      <c r="L33" s="57" t="s">
        <v>494</v>
      </c>
      <c r="M33" s="58" t="s">
        <v>220</v>
      </c>
      <c r="N33" s="58" t="s">
        <v>221</v>
      </c>
      <c r="O33" s="58" t="s">
        <v>264</v>
      </c>
      <c r="P33" s="3"/>
      <c r="Q33" s="126">
        <f>Q34+Q35+Q36</f>
        <v>13446.1</v>
      </c>
      <c r="R33" s="126">
        <f>R34+R35+R36</f>
        <v>19633.3</v>
      </c>
      <c r="S33" s="126">
        <f>S34+S35+S36</f>
        <v>19503.3</v>
      </c>
    </row>
    <row r="34" spans="8:19" ht="18.75">
      <c r="H34" s="2" t="s">
        <v>204</v>
      </c>
      <c r="I34" s="263"/>
      <c r="J34" s="4">
        <v>1</v>
      </c>
      <c r="K34" s="11">
        <v>4</v>
      </c>
      <c r="L34" s="57" t="s">
        <v>494</v>
      </c>
      <c r="M34" s="58" t="s">
        <v>220</v>
      </c>
      <c r="N34" s="58" t="s">
        <v>221</v>
      </c>
      <c r="O34" s="58" t="s">
        <v>264</v>
      </c>
      <c r="P34" s="3">
        <v>120</v>
      </c>
      <c r="Q34" s="126">
        <f>'приложение 5'!Q47</f>
        <v>10083.6</v>
      </c>
      <c r="R34" s="126">
        <f>'приложение 5'!R47</f>
        <v>16181.3</v>
      </c>
      <c r="S34" s="126">
        <f>'приложение 5'!S47</f>
        <v>16151.3</v>
      </c>
    </row>
    <row r="35" spans="8:19" ht="18.75">
      <c r="H35" s="2" t="s">
        <v>299</v>
      </c>
      <c r="I35" s="263"/>
      <c r="J35" s="11">
        <v>1</v>
      </c>
      <c r="K35" s="11">
        <v>4</v>
      </c>
      <c r="L35" s="57" t="s">
        <v>494</v>
      </c>
      <c r="M35" s="58" t="s">
        <v>220</v>
      </c>
      <c r="N35" s="58" t="s">
        <v>221</v>
      </c>
      <c r="O35" s="58" t="s">
        <v>264</v>
      </c>
      <c r="P35" s="7">
        <v>240</v>
      </c>
      <c r="Q35" s="124">
        <f>'приложение 5'!Q48</f>
        <v>2862.5</v>
      </c>
      <c r="R35" s="124">
        <f>'приложение 5'!R48</f>
        <v>2952</v>
      </c>
      <c r="S35" s="124">
        <f>'приложение 5'!S48</f>
        <v>2852</v>
      </c>
    </row>
    <row r="36" spans="8:19" ht="18.75">
      <c r="H36" s="2" t="s">
        <v>300</v>
      </c>
      <c r="I36" s="263"/>
      <c r="J36" s="4">
        <v>1</v>
      </c>
      <c r="K36" s="11">
        <v>4</v>
      </c>
      <c r="L36" s="57" t="s">
        <v>494</v>
      </c>
      <c r="M36" s="58" t="s">
        <v>220</v>
      </c>
      <c r="N36" s="58" t="s">
        <v>221</v>
      </c>
      <c r="O36" s="58" t="s">
        <v>264</v>
      </c>
      <c r="P36" s="3">
        <v>850</v>
      </c>
      <c r="Q36" s="126">
        <f>'приложение 5'!Q49</f>
        <v>500</v>
      </c>
      <c r="R36" s="126">
        <f>'приложение 5'!R49</f>
        <v>500</v>
      </c>
      <c r="S36" s="126">
        <f>'приложение 5'!S49</f>
        <v>500</v>
      </c>
    </row>
    <row r="37" spans="8:19" ht="31.5">
      <c r="H37" s="2" t="s">
        <v>374</v>
      </c>
      <c r="I37" s="263"/>
      <c r="J37" s="4">
        <v>1</v>
      </c>
      <c r="K37" s="11">
        <v>4</v>
      </c>
      <c r="L37" s="57" t="s">
        <v>494</v>
      </c>
      <c r="M37" s="58" t="s">
        <v>220</v>
      </c>
      <c r="N37" s="58" t="s">
        <v>221</v>
      </c>
      <c r="O37" s="58" t="s">
        <v>373</v>
      </c>
      <c r="P37" s="3"/>
      <c r="Q37" s="126">
        <f>Q38</f>
        <v>10856.3</v>
      </c>
      <c r="R37" s="126">
        <f>R38</f>
        <v>10856.3</v>
      </c>
      <c r="S37" s="126">
        <f>S38</f>
        <v>10856.3</v>
      </c>
    </row>
    <row r="38" spans="8:19" ht="18.75">
      <c r="H38" s="2" t="s">
        <v>204</v>
      </c>
      <c r="I38" s="263"/>
      <c r="J38" s="4">
        <v>1</v>
      </c>
      <c r="K38" s="11">
        <v>4</v>
      </c>
      <c r="L38" s="57" t="s">
        <v>494</v>
      </c>
      <c r="M38" s="58" t="s">
        <v>220</v>
      </c>
      <c r="N38" s="58" t="s">
        <v>221</v>
      </c>
      <c r="O38" s="58" t="s">
        <v>373</v>
      </c>
      <c r="P38" s="3">
        <v>120</v>
      </c>
      <c r="Q38" s="126">
        <f>'приложение 5'!Q51</f>
        <v>10856.3</v>
      </c>
      <c r="R38" s="126">
        <f>'приложение 5'!R51</f>
        <v>10856.3</v>
      </c>
      <c r="S38" s="126">
        <f>'приложение 5'!S51</f>
        <v>10856.3</v>
      </c>
    </row>
    <row r="39" spans="8:19" ht="31.5">
      <c r="H39" s="2" t="s">
        <v>899</v>
      </c>
      <c r="I39" s="263"/>
      <c r="J39" s="11">
        <v>1</v>
      </c>
      <c r="K39" s="11">
        <v>4</v>
      </c>
      <c r="L39" s="57" t="s">
        <v>494</v>
      </c>
      <c r="M39" s="58" t="s">
        <v>220</v>
      </c>
      <c r="N39" s="58" t="s">
        <v>236</v>
      </c>
      <c r="O39" s="58" t="s">
        <v>261</v>
      </c>
      <c r="P39" s="3"/>
      <c r="Q39" s="126">
        <f>Q40+Q44</f>
        <v>4747.4</v>
      </c>
      <c r="R39" s="126">
        <f>R40+R44</f>
        <v>5111.7</v>
      </c>
      <c r="S39" s="126">
        <f>S40+S44</f>
        <v>5111.7</v>
      </c>
    </row>
    <row r="40" spans="8:19" ht="18.75">
      <c r="H40" s="2" t="s">
        <v>60</v>
      </c>
      <c r="I40" s="281"/>
      <c r="J40" s="11">
        <v>1</v>
      </c>
      <c r="K40" s="11">
        <v>4</v>
      </c>
      <c r="L40" s="57" t="s">
        <v>494</v>
      </c>
      <c r="M40" s="58" t="s">
        <v>220</v>
      </c>
      <c r="N40" s="58" t="s">
        <v>236</v>
      </c>
      <c r="O40" s="58" t="s">
        <v>264</v>
      </c>
      <c r="P40" s="3"/>
      <c r="Q40" s="126">
        <f>Q41+Q42+Q43</f>
        <v>2771.8999999999996</v>
      </c>
      <c r="R40" s="126">
        <f>R41+R42+R43</f>
        <v>3136.2</v>
      </c>
      <c r="S40" s="126">
        <f>S41+S42+S43</f>
        <v>3136.2</v>
      </c>
    </row>
    <row r="41" spans="8:19" ht="18.75">
      <c r="H41" s="2" t="s">
        <v>204</v>
      </c>
      <c r="I41" s="263"/>
      <c r="J41" s="11">
        <v>1</v>
      </c>
      <c r="K41" s="11">
        <v>4</v>
      </c>
      <c r="L41" s="57" t="s">
        <v>494</v>
      </c>
      <c r="M41" s="58" t="s">
        <v>220</v>
      </c>
      <c r="N41" s="58" t="s">
        <v>236</v>
      </c>
      <c r="O41" s="58" t="s">
        <v>264</v>
      </c>
      <c r="P41" s="3">
        <v>120</v>
      </c>
      <c r="Q41" s="126">
        <f>'приложение 5'!Q501</f>
        <v>2062.8999999999996</v>
      </c>
      <c r="R41" s="126">
        <f>'приложение 5'!R501</f>
        <v>2926.2</v>
      </c>
      <c r="S41" s="126">
        <f>'приложение 5'!S501</f>
        <v>2926.2</v>
      </c>
    </row>
    <row r="42" spans="8:19" ht="18.75">
      <c r="H42" s="2" t="s">
        <v>299</v>
      </c>
      <c r="I42" s="263"/>
      <c r="J42" s="11">
        <v>1</v>
      </c>
      <c r="K42" s="11">
        <v>4</v>
      </c>
      <c r="L42" s="57" t="s">
        <v>494</v>
      </c>
      <c r="M42" s="58" t="s">
        <v>220</v>
      </c>
      <c r="N42" s="58" t="s">
        <v>236</v>
      </c>
      <c r="O42" s="58" t="s">
        <v>264</v>
      </c>
      <c r="P42" s="7">
        <v>240</v>
      </c>
      <c r="Q42" s="124">
        <f>'приложение 5'!Q502</f>
        <v>285</v>
      </c>
      <c r="R42" s="124">
        <f>'приложение 5'!R502</f>
        <v>200</v>
      </c>
      <c r="S42" s="124">
        <f>'приложение 5'!S502</f>
        <v>200</v>
      </c>
    </row>
    <row r="43" spans="8:19" ht="18.75">
      <c r="H43" s="2" t="str">
        <f>H36</f>
        <v>Уплата налогов, сборов и иных платежей</v>
      </c>
      <c r="I43" s="263"/>
      <c r="J43" s="11">
        <v>1</v>
      </c>
      <c r="K43" s="11">
        <v>4</v>
      </c>
      <c r="L43" s="57" t="s">
        <v>494</v>
      </c>
      <c r="M43" s="58" t="s">
        <v>220</v>
      </c>
      <c r="N43" s="58" t="s">
        <v>236</v>
      </c>
      <c r="O43" s="58" t="s">
        <v>264</v>
      </c>
      <c r="P43" s="7">
        <v>850</v>
      </c>
      <c r="Q43" s="124">
        <f>'приложение 5'!Q503</f>
        <v>424</v>
      </c>
      <c r="R43" s="124">
        <f>'приложение 5'!R503</f>
        <v>10</v>
      </c>
      <c r="S43" s="124">
        <f>'приложение 5'!S503</f>
        <v>10</v>
      </c>
    </row>
    <row r="44" spans="8:19" ht="31.5">
      <c r="H44" s="108" t="s">
        <v>374</v>
      </c>
      <c r="I44" s="339"/>
      <c r="J44" s="11">
        <v>1</v>
      </c>
      <c r="K44" s="11">
        <v>4</v>
      </c>
      <c r="L44" s="57" t="s">
        <v>494</v>
      </c>
      <c r="M44" s="58" t="s">
        <v>220</v>
      </c>
      <c r="N44" s="58" t="s">
        <v>236</v>
      </c>
      <c r="O44" s="58" t="s">
        <v>373</v>
      </c>
      <c r="P44" s="7"/>
      <c r="Q44" s="124">
        <f>Q45</f>
        <v>1975.5</v>
      </c>
      <c r="R44" s="124">
        <f>R45</f>
        <v>1975.5</v>
      </c>
      <c r="S44" s="124">
        <f>S45</f>
        <v>1975.5</v>
      </c>
    </row>
    <row r="45" spans="8:19" ht="18.75">
      <c r="H45" s="2" t="s">
        <v>204</v>
      </c>
      <c r="I45" s="263"/>
      <c r="J45" s="11">
        <v>1</v>
      </c>
      <c r="K45" s="11">
        <v>4</v>
      </c>
      <c r="L45" s="57" t="s">
        <v>494</v>
      </c>
      <c r="M45" s="58" t="s">
        <v>220</v>
      </c>
      <c r="N45" s="58" t="s">
        <v>236</v>
      </c>
      <c r="O45" s="58" t="s">
        <v>373</v>
      </c>
      <c r="P45" s="7">
        <v>120</v>
      </c>
      <c r="Q45" s="124">
        <f>'приложение 5'!Q505</f>
        <v>1975.5</v>
      </c>
      <c r="R45" s="124">
        <f>'приложение 5'!R505</f>
        <v>1975.5</v>
      </c>
      <c r="S45" s="124">
        <f>'приложение 5'!S505</f>
        <v>1975.5</v>
      </c>
    </row>
    <row r="46" spans="8:19" ht="31.5">
      <c r="H46" s="2" t="s">
        <v>903</v>
      </c>
      <c r="I46" s="265"/>
      <c r="J46" s="4">
        <v>1</v>
      </c>
      <c r="K46" s="11">
        <v>4</v>
      </c>
      <c r="L46" s="57" t="s">
        <v>494</v>
      </c>
      <c r="M46" s="58" t="s">
        <v>220</v>
      </c>
      <c r="N46" s="58" t="s">
        <v>237</v>
      </c>
      <c r="O46" s="58" t="s">
        <v>261</v>
      </c>
      <c r="P46" s="3"/>
      <c r="Q46" s="126">
        <f>Q47+Q51</f>
        <v>5134.6</v>
      </c>
      <c r="R46" s="126">
        <f>R47+R51</f>
        <v>5521.6</v>
      </c>
      <c r="S46" s="126">
        <f>S47+S51</f>
        <v>5320</v>
      </c>
    </row>
    <row r="47" spans="8:19" ht="18.75">
      <c r="H47" s="2" t="s">
        <v>60</v>
      </c>
      <c r="I47" s="265"/>
      <c r="J47" s="4">
        <v>1</v>
      </c>
      <c r="K47" s="11">
        <v>4</v>
      </c>
      <c r="L47" s="57" t="s">
        <v>494</v>
      </c>
      <c r="M47" s="58" t="s">
        <v>220</v>
      </c>
      <c r="N47" s="58" t="s">
        <v>237</v>
      </c>
      <c r="O47" s="58" t="s">
        <v>264</v>
      </c>
      <c r="P47" s="3"/>
      <c r="Q47" s="126">
        <f>Q48+Q49+Q50</f>
        <v>3564.9</v>
      </c>
      <c r="R47" s="126">
        <f>R48+R49+R50</f>
        <v>3951.9</v>
      </c>
      <c r="S47" s="126">
        <f>S48+S49+S50</f>
        <v>3750.3</v>
      </c>
    </row>
    <row r="48" spans="8:19" ht="18.75">
      <c r="H48" s="2" t="s">
        <v>204</v>
      </c>
      <c r="I48" s="263"/>
      <c r="J48" s="4">
        <v>1</v>
      </c>
      <c r="K48" s="11">
        <v>4</v>
      </c>
      <c r="L48" s="57" t="s">
        <v>494</v>
      </c>
      <c r="M48" s="58" t="s">
        <v>220</v>
      </c>
      <c r="N48" s="58" t="s">
        <v>237</v>
      </c>
      <c r="O48" s="58" t="s">
        <v>264</v>
      </c>
      <c r="P48" s="3">
        <v>120</v>
      </c>
      <c r="Q48" s="126">
        <f>'приложение 5'!Q913</f>
        <v>2089.9</v>
      </c>
      <c r="R48" s="126">
        <f>'приложение 5'!R913</f>
        <v>2325.3</v>
      </c>
      <c r="S48" s="126">
        <f>'приложение 5'!S913</f>
        <v>2325.3</v>
      </c>
    </row>
    <row r="49" spans="8:19" ht="18.75">
      <c r="H49" s="2" t="s">
        <v>299</v>
      </c>
      <c r="I49" s="265"/>
      <c r="J49" s="4">
        <v>1</v>
      </c>
      <c r="K49" s="11">
        <v>4</v>
      </c>
      <c r="L49" s="57" t="s">
        <v>494</v>
      </c>
      <c r="M49" s="58" t="s">
        <v>220</v>
      </c>
      <c r="N49" s="58" t="s">
        <v>237</v>
      </c>
      <c r="O49" s="58" t="s">
        <v>264</v>
      </c>
      <c r="P49" s="3">
        <v>240</v>
      </c>
      <c r="Q49" s="126">
        <f>'приложение 5'!Q914</f>
        <v>1402</v>
      </c>
      <c r="R49" s="126">
        <f>'приложение 5'!R914</f>
        <v>1566.6</v>
      </c>
      <c r="S49" s="126">
        <f>'приложение 5'!S914</f>
        <v>1365</v>
      </c>
    </row>
    <row r="50" spans="8:19" ht="18.75">
      <c r="H50" s="2" t="str">
        <f>H43</f>
        <v>Уплата налогов, сборов и иных платежей</v>
      </c>
      <c r="I50" s="79"/>
      <c r="J50" s="4">
        <v>1</v>
      </c>
      <c r="K50" s="11">
        <v>4</v>
      </c>
      <c r="L50" s="57" t="s">
        <v>494</v>
      </c>
      <c r="M50" s="58" t="s">
        <v>220</v>
      </c>
      <c r="N50" s="58" t="s">
        <v>237</v>
      </c>
      <c r="O50" s="58" t="s">
        <v>264</v>
      </c>
      <c r="P50" s="3">
        <v>850</v>
      </c>
      <c r="Q50" s="126">
        <f>'приложение 5'!Q915</f>
        <v>73</v>
      </c>
      <c r="R50" s="126">
        <f>'приложение 5'!R915</f>
        <v>60</v>
      </c>
      <c r="S50" s="126">
        <f>'приложение 5'!S915</f>
        <v>60</v>
      </c>
    </row>
    <row r="51" spans="8:19" ht="31.5">
      <c r="H51" s="26" t="s">
        <v>374</v>
      </c>
      <c r="I51" s="302"/>
      <c r="J51" s="4">
        <v>1</v>
      </c>
      <c r="K51" s="11">
        <v>4</v>
      </c>
      <c r="L51" s="57" t="s">
        <v>494</v>
      </c>
      <c r="M51" s="58" t="s">
        <v>220</v>
      </c>
      <c r="N51" s="58" t="s">
        <v>237</v>
      </c>
      <c r="O51" s="58" t="s">
        <v>373</v>
      </c>
      <c r="P51" s="3"/>
      <c r="Q51" s="126">
        <f>Q52</f>
        <v>1569.7</v>
      </c>
      <c r="R51" s="126">
        <f>R52</f>
        <v>1569.7</v>
      </c>
      <c r="S51" s="126">
        <f>S52</f>
        <v>1569.7</v>
      </c>
    </row>
    <row r="52" spans="8:19" ht="18.75">
      <c r="H52" s="2" t="s">
        <v>204</v>
      </c>
      <c r="I52" s="263"/>
      <c r="J52" s="4">
        <v>1</v>
      </c>
      <c r="K52" s="11">
        <v>4</v>
      </c>
      <c r="L52" s="57" t="s">
        <v>494</v>
      </c>
      <c r="M52" s="58" t="s">
        <v>220</v>
      </c>
      <c r="N52" s="58" t="s">
        <v>237</v>
      </c>
      <c r="O52" s="58" t="s">
        <v>373</v>
      </c>
      <c r="P52" s="3">
        <v>120</v>
      </c>
      <c r="Q52" s="126">
        <f>'приложение 5'!Q917</f>
        <v>1569.7</v>
      </c>
      <c r="R52" s="126">
        <f>'приложение 5'!R917</f>
        <v>1569.7</v>
      </c>
      <c r="S52" s="126">
        <f>'приложение 5'!S917</f>
        <v>1569.7</v>
      </c>
    </row>
    <row r="53" spans="8:19" ht="31.5">
      <c r="H53" s="2" t="s">
        <v>901</v>
      </c>
      <c r="I53" s="263"/>
      <c r="J53" s="13">
        <v>1</v>
      </c>
      <c r="K53" s="11">
        <v>4</v>
      </c>
      <c r="L53" s="57" t="s">
        <v>494</v>
      </c>
      <c r="M53" s="58" t="s">
        <v>220</v>
      </c>
      <c r="N53" s="58" t="s">
        <v>232</v>
      </c>
      <c r="O53" s="58" t="s">
        <v>261</v>
      </c>
      <c r="P53" s="3"/>
      <c r="Q53" s="126">
        <f>Q54+Q58</f>
        <v>6448.299999999999</v>
      </c>
      <c r="R53" s="126">
        <f>R54+R58</f>
        <v>7050</v>
      </c>
      <c r="S53" s="126">
        <f>S54+S58</f>
        <v>6868.299999999999</v>
      </c>
    </row>
    <row r="54" spans="8:19" ht="18.75">
      <c r="H54" s="2" t="s">
        <v>60</v>
      </c>
      <c r="I54" s="263"/>
      <c r="J54" s="13">
        <v>1</v>
      </c>
      <c r="K54" s="11">
        <v>4</v>
      </c>
      <c r="L54" s="57" t="s">
        <v>494</v>
      </c>
      <c r="M54" s="58" t="s">
        <v>220</v>
      </c>
      <c r="N54" s="58" t="s">
        <v>232</v>
      </c>
      <c r="O54" s="58" t="s">
        <v>264</v>
      </c>
      <c r="P54" s="3"/>
      <c r="Q54" s="126">
        <f>Q55+Q56+Q57</f>
        <v>4077.2</v>
      </c>
      <c r="R54" s="126">
        <f>R55+R56+R57</f>
        <v>4678.9</v>
      </c>
      <c r="S54" s="126">
        <f>S55+S56+S57</f>
        <v>4497.2</v>
      </c>
    </row>
    <row r="55" spans="8:19" ht="18.75">
      <c r="H55" s="2" t="s">
        <v>204</v>
      </c>
      <c r="I55" s="263"/>
      <c r="J55" s="4">
        <v>1</v>
      </c>
      <c r="K55" s="11">
        <v>4</v>
      </c>
      <c r="L55" s="57" t="s">
        <v>494</v>
      </c>
      <c r="M55" s="58" t="s">
        <v>220</v>
      </c>
      <c r="N55" s="58" t="s">
        <v>232</v>
      </c>
      <c r="O55" s="58" t="s">
        <v>264</v>
      </c>
      <c r="P55" s="3">
        <v>120</v>
      </c>
      <c r="Q55" s="126">
        <f>'приложение 5'!Q1011</f>
        <v>2964.9999999999995</v>
      </c>
      <c r="R55" s="126">
        <f>'приложение 5'!R1011</f>
        <v>3546.8</v>
      </c>
      <c r="S55" s="126">
        <f>'приложение 5'!S1011</f>
        <v>3512.2</v>
      </c>
    </row>
    <row r="56" spans="8:19" ht="18.75">
      <c r="H56" s="2" t="s">
        <v>299</v>
      </c>
      <c r="I56" s="263"/>
      <c r="J56" s="4">
        <v>1</v>
      </c>
      <c r="K56" s="11">
        <v>4</v>
      </c>
      <c r="L56" s="57" t="s">
        <v>494</v>
      </c>
      <c r="M56" s="58" t="s">
        <v>220</v>
      </c>
      <c r="N56" s="58" t="s">
        <v>232</v>
      </c>
      <c r="O56" s="58" t="s">
        <v>264</v>
      </c>
      <c r="P56" s="3">
        <v>240</v>
      </c>
      <c r="Q56" s="126">
        <f>'приложение 5'!Q1012</f>
        <v>1052.2</v>
      </c>
      <c r="R56" s="126">
        <f>'приложение 5'!R1012</f>
        <v>1107.1</v>
      </c>
      <c r="S56" s="126">
        <f>'приложение 5'!S1012</f>
        <v>960</v>
      </c>
    </row>
    <row r="57" spans="8:19" ht="18.75">
      <c r="H57" s="2" t="str">
        <f>H43</f>
        <v>Уплата налогов, сборов и иных платежей</v>
      </c>
      <c r="I57" s="263"/>
      <c r="J57" s="4">
        <v>1</v>
      </c>
      <c r="K57" s="11">
        <v>4</v>
      </c>
      <c r="L57" s="57" t="s">
        <v>494</v>
      </c>
      <c r="M57" s="58" t="s">
        <v>220</v>
      </c>
      <c r="N57" s="58" t="s">
        <v>232</v>
      </c>
      <c r="O57" s="58" t="s">
        <v>264</v>
      </c>
      <c r="P57" s="3">
        <v>850</v>
      </c>
      <c r="Q57" s="126">
        <f>'приложение 5'!Q1013</f>
        <v>60</v>
      </c>
      <c r="R57" s="126">
        <f>'приложение 5'!R1013</f>
        <v>25</v>
      </c>
      <c r="S57" s="126">
        <f>'приложение 5'!S1013</f>
        <v>25</v>
      </c>
    </row>
    <row r="58" spans="8:19" ht="31.5">
      <c r="H58" s="2" t="s">
        <v>374</v>
      </c>
      <c r="I58" s="263"/>
      <c r="J58" s="4">
        <v>1</v>
      </c>
      <c r="K58" s="11">
        <v>4</v>
      </c>
      <c r="L58" s="57" t="s">
        <v>494</v>
      </c>
      <c r="M58" s="58" t="s">
        <v>220</v>
      </c>
      <c r="N58" s="58" t="s">
        <v>232</v>
      </c>
      <c r="O58" s="58" t="s">
        <v>373</v>
      </c>
      <c r="P58" s="3"/>
      <c r="Q58" s="126">
        <f>Q59</f>
        <v>2371.1</v>
      </c>
      <c r="R58" s="126">
        <f>R59</f>
        <v>2371.1</v>
      </c>
      <c r="S58" s="126">
        <f>S59</f>
        <v>2371.1</v>
      </c>
    </row>
    <row r="59" spans="8:19" ht="18.75">
      <c r="H59" s="2" t="s">
        <v>204</v>
      </c>
      <c r="I59" s="263"/>
      <c r="J59" s="4">
        <v>1</v>
      </c>
      <c r="K59" s="11">
        <v>4</v>
      </c>
      <c r="L59" s="57" t="s">
        <v>494</v>
      </c>
      <c r="M59" s="58" t="s">
        <v>220</v>
      </c>
      <c r="N59" s="58" t="s">
        <v>232</v>
      </c>
      <c r="O59" s="58" t="s">
        <v>373</v>
      </c>
      <c r="P59" s="3">
        <v>120</v>
      </c>
      <c r="Q59" s="126">
        <f>'приложение 5'!Q1015</f>
        <v>2371.1</v>
      </c>
      <c r="R59" s="126">
        <f>'приложение 5'!R1015</f>
        <v>2371.1</v>
      </c>
      <c r="S59" s="126">
        <f>'приложение 5'!S1015</f>
        <v>2371.1</v>
      </c>
    </row>
    <row r="60" spans="8:19" ht="19.5">
      <c r="H60" s="225" t="s">
        <v>259</v>
      </c>
      <c r="I60" s="306"/>
      <c r="J60" s="86">
        <v>1</v>
      </c>
      <c r="K60" s="86">
        <v>5</v>
      </c>
      <c r="L60" s="87"/>
      <c r="M60" s="88"/>
      <c r="N60" s="88"/>
      <c r="O60" s="88"/>
      <c r="P60" s="85"/>
      <c r="Q60" s="123">
        <f>Q61</f>
        <v>3</v>
      </c>
      <c r="R60" s="123">
        <f aca="true" t="shared" si="1" ref="R60:S63">R61</f>
        <v>3.1</v>
      </c>
      <c r="S60" s="123">
        <f t="shared" si="1"/>
        <v>20.2</v>
      </c>
    </row>
    <row r="61" spans="8:19" ht="31.5">
      <c r="H61" s="2" t="s">
        <v>522</v>
      </c>
      <c r="I61" s="263"/>
      <c r="J61" s="11">
        <v>1</v>
      </c>
      <c r="K61" s="11">
        <v>5</v>
      </c>
      <c r="L61" s="57" t="s">
        <v>494</v>
      </c>
      <c r="M61" s="58" t="s">
        <v>220</v>
      </c>
      <c r="N61" s="58" t="s">
        <v>229</v>
      </c>
      <c r="O61" s="58" t="s">
        <v>261</v>
      </c>
      <c r="P61" s="7"/>
      <c r="Q61" s="124">
        <f>Q62</f>
        <v>3</v>
      </c>
      <c r="R61" s="124">
        <f t="shared" si="1"/>
        <v>3.1</v>
      </c>
      <c r="S61" s="124">
        <f t="shared" si="1"/>
        <v>20.2</v>
      </c>
    </row>
    <row r="62" spans="8:19" ht="31.5">
      <c r="H62" s="2" t="s">
        <v>524</v>
      </c>
      <c r="I62" s="263"/>
      <c r="J62" s="11">
        <v>1</v>
      </c>
      <c r="K62" s="11">
        <v>5</v>
      </c>
      <c r="L62" s="57" t="s">
        <v>494</v>
      </c>
      <c r="M62" s="58" t="s">
        <v>220</v>
      </c>
      <c r="N62" s="58" t="s">
        <v>223</v>
      </c>
      <c r="O62" s="58" t="s">
        <v>261</v>
      </c>
      <c r="P62" s="7"/>
      <c r="Q62" s="124">
        <f>Q63</f>
        <v>3</v>
      </c>
      <c r="R62" s="124">
        <f t="shared" si="1"/>
        <v>3.1</v>
      </c>
      <c r="S62" s="124">
        <f t="shared" si="1"/>
        <v>20.2</v>
      </c>
    </row>
    <row r="63" spans="8:19" ht="31.5">
      <c r="H63" s="8" t="s">
        <v>322</v>
      </c>
      <c r="I63" s="263"/>
      <c r="J63" s="11">
        <v>1</v>
      </c>
      <c r="K63" s="11">
        <v>5</v>
      </c>
      <c r="L63" s="57" t="s">
        <v>494</v>
      </c>
      <c r="M63" s="58" t="s">
        <v>220</v>
      </c>
      <c r="N63" s="58" t="s">
        <v>223</v>
      </c>
      <c r="O63" s="58" t="s">
        <v>321</v>
      </c>
      <c r="P63" s="7"/>
      <c r="Q63" s="124">
        <f>Q64</f>
        <v>3</v>
      </c>
      <c r="R63" s="124">
        <f t="shared" si="1"/>
        <v>3.1</v>
      </c>
      <c r="S63" s="124">
        <f t="shared" si="1"/>
        <v>20.2</v>
      </c>
    </row>
    <row r="64" spans="8:19" ht="18.75">
      <c r="H64" s="2" t="s">
        <v>299</v>
      </c>
      <c r="I64" s="263"/>
      <c r="J64" s="11">
        <v>1</v>
      </c>
      <c r="K64" s="11">
        <v>5</v>
      </c>
      <c r="L64" s="57" t="s">
        <v>494</v>
      </c>
      <c r="M64" s="58" t="s">
        <v>220</v>
      </c>
      <c r="N64" s="58" t="s">
        <v>223</v>
      </c>
      <c r="O64" s="58" t="s">
        <v>321</v>
      </c>
      <c r="P64" s="7">
        <v>240</v>
      </c>
      <c r="Q64" s="124">
        <f>'приложение 5'!Q56</f>
        <v>3</v>
      </c>
      <c r="R64" s="124">
        <f>'приложение 5'!R56</f>
        <v>3.1</v>
      </c>
      <c r="S64" s="124">
        <f>'приложение 5'!S56</f>
        <v>20.2</v>
      </c>
    </row>
    <row r="65" spans="8:19" ht="31.5">
      <c r="H65" s="225" t="s">
        <v>76</v>
      </c>
      <c r="I65" s="306"/>
      <c r="J65" s="86">
        <v>1</v>
      </c>
      <c r="K65" s="86">
        <v>6</v>
      </c>
      <c r="L65" s="86"/>
      <c r="M65" s="88"/>
      <c r="N65" s="88"/>
      <c r="O65" s="88"/>
      <c r="P65" s="85"/>
      <c r="Q65" s="217">
        <f>Q66+Q86</f>
        <v>10809.1</v>
      </c>
      <c r="R65" s="217">
        <f>R66+R86</f>
        <v>11534</v>
      </c>
      <c r="S65" s="217">
        <f>S66+S86</f>
        <v>11034</v>
      </c>
    </row>
    <row r="66" spans="8:19" ht="31.5">
      <c r="H66" s="2" t="s">
        <v>573</v>
      </c>
      <c r="I66" s="263"/>
      <c r="J66" s="11">
        <v>1</v>
      </c>
      <c r="K66" s="11">
        <v>6</v>
      </c>
      <c r="L66" s="57" t="s">
        <v>225</v>
      </c>
      <c r="M66" s="58" t="s">
        <v>220</v>
      </c>
      <c r="N66" s="58" t="s">
        <v>229</v>
      </c>
      <c r="O66" s="58" t="s">
        <v>261</v>
      </c>
      <c r="P66" s="3"/>
      <c r="Q66" s="126">
        <f>Q67+Q71+Q81</f>
        <v>9050.5</v>
      </c>
      <c r="R66" s="126">
        <f>R67+R71+R81</f>
        <v>9720.2</v>
      </c>
      <c r="S66" s="126">
        <f>S67+S71+S81</f>
        <v>9220.2</v>
      </c>
    </row>
    <row r="67" spans="8:19" ht="31.5">
      <c r="H67" s="2" t="s">
        <v>574</v>
      </c>
      <c r="I67" s="263"/>
      <c r="J67" s="11">
        <v>1</v>
      </c>
      <c r="K67" s="11">
        <v>6</v>
      </c>
      <c r="L67" s="57" t="s">
        <v>225</v>
      </c>
      <c r="M67" s="58" t="s">
        <v>222</v>
      </c>
      <c r="N67" s="58" t="s">
        <v>229</v>
      </c>
      <c r="O67" s="58" t="s">
        <v>261</v>
      </c>
      <c r="P67" s="3"/>
      <c r="Q67" s="126">
        <f>Q68</f>
        <v>20</v>
      </c>
      <c r="R67" s="126">
        <f aca="true" t="shared" si="2" ref="R67:S69">R68</f>
        <v>20</v>
      </c>
      <c r="S67" s="126">
        <f t="shared" si="2"/>
        <v>20</v>
      </c>
    </row>
    <row r="68" spans="8:19" ht="31.5">
      <c r="H68" s="2" t="s">
        <v>575</v>
      </c>
      <c r="I68" s="263"/>
      <c r="J68" s="11">
        <v>1</v>
      </c>
      <c r="K68" s="11">
        <v>6</v>
      </c>
      <c r="L68" s="57" t="s">
        <v>225</v>
      </c>
      <c r="M68" s="58" t="s">
        <v>222</v>
      </c>
      <c r="N68" s="58" t="s">
        <v>237</v>
      </c>
      <c r="O68" s="58" t="s">
        <v>261</v>
      </c>
      <c r="P68" s="3"/>
      <c r="Q68" s="126">
        <f>Q69</f>
        <v>20</v>
      </c>
      <c r="R68" s="126">
        <f t="shared" si="2"/>
        <v>20</v>
      </c>
      <c r="S68" s="126">
        <f t="shared" si="2"/>
        <v>20</v>
      </c>
    </row>
    <row r="69" spans="8:19" ht="18.75">
      <c r="H69" s="2" t="s">
        <v>60</v>
      </c>
      <c r="I69" s="263"/>
      <c r="J69" s="11">
        <v>1</v>
      </c>
      <c r="K69" s="11">
        <v>6</v>
      </c>
      <c r="L69" s="57" t="s">
        <v>225</v>
      </c>
      <c r="M69" s="58" t="s">
        <v>222</v>
      </c>
      <c r="N69" s="58" t="s">
        <v>237</v>
      </c>
      <c r="O69" s="58" t="s">
        <v>264</v>
      </c>
      <c r="P69" s="3"/>
      <c r="Q69" s="126">
        <f>Q70</f>
        <v>20</v>
      </c>
      <c r="R69" s="126">
        <f t="shared" si="2"/>
        <v>20</v>
      </c>
      <c r="S69" s="126">
        <f t="shared" si="2"/>
        <v>20</v>
      </c>
    </row>
    <row r="70" spans="8:19" ht="18.75">
      <c r="H70" s="2" t="s">
        <v>299</v>
      </c>
      <c r="I70" s="263"/>
      <c r="J70" s="11">
        <v>1</v>
      </c>
      <c r="K70" s="11">
        <v>6</v>
      </c>
      <c r="L70" s="57" t="s">
        <v>225</v>
      </c>
      <c r="M70" s="58" t="s">
        <v>222</v>
      </c>
      <c r="N70" s="58" t="s">
        <v>237</v>
      </c>
      <c r="O70" s="58" t="s">
        <v>264</v>
      </c>
      <c r="P70" s="3">
        <v>240</v>
      </c>
      <c r="Q70" s="126">
        <f>'приложение 5'!Q662</f>
        <v>20</v>
      </c>
      <c r="R70" s="126">
        <f>'приложение 5'!R662</f>
        <v>20</v>
      </c>
      <c r="S70" s="126">
        <f>'приложение 5'!S662</f>
        <v>20</v>
      </c>
    </row>
    <row r="71" spans="8:19" ht="31.5">
      <c r="H71" s="2" t="s">
        <v>576</v>
      </c>
      <c r="I71" s="263"/>
      <c r="J71" s="11">
        <v>1</v>
      </c>
      <c r="K71" s="11">
        <v>6</v>
      </c>
      <c r="L71" s="57" t="s">
        <v>225</v>
      </c>
      <c r="M71" s="58" t="s">
        <v>368</v>
      </c>
      <c r="N71" s="58" t="s">
        <v>229</v>
      </c>
      <c r="O71" s="58" t="s">
        <v>511</v>
      </c>
      <c r="P71" s="3"/>
      <c r="Q71" s="126">
        <f>Q72</f>
        <v>9010.5</v>
      </c>
      <c r="R71" s="126">
        <f>R72</f>
        <v>9680.2</v>
      </c>
      <c r="S71" s="126">
        <f>S72</f>
        <v>9180.2</v>
      </c>
    </row>
    <row r="72" spans="8:19" ht="63">
      <c r="H72" s="2" t="s">
        <v>577</v>
      </c>
      <c r="I72" s="263"/>
      <c r="J72" s="11">
        <v>1</v>
      </c>
      <c r="K72" s="11">
        <v>6</v>
      </c>
      <c r="L72" s="57" t="s">
        <v>225</v>
      </c>
      <c r="M72" s="58" t="s">
        <v>368</v>
      </c>
      <c r="N72" s="58" t="s">
        <v>221</v>
      </c>
      <c r="O72" s="58" t="s">
        <v>261</v>
      </c>
      <c r="P72" s="3"/>
      <c r="Q72" s="126">
        <f>Q73+Q77+Q79</f>
        <v>9010.5</v>
      </c>
      <c r="R72" s="126">
        <f>R73+R77+R79</f>
        <v>9680.2</v>
      </c>
      <c r="S72" s="126">
        <f>S73+S77+S79</f>
        <v>9180.2</v>
      </c>
    </row>
    <row r="73" spans="8:19" ht="18.75">
      <c r="H73" s="2" t="s">
        <v>60</v>
      </c>
      <c r="I73" s="263"/>
      <c r="J73" s="11">
        <v>1</v>
      </c>
      <c r="K73" s="11">
        <v>6</v>
      </c>
      <c r="L73" s="57" t="s">
        <v>225</v>
      </c>
      <c r="M73" s="58" t="s">
        <v>368</v>
      </c>
      <c r="N73" s="58" t="s">
        <v>221</v>
      </c>
      <c r="O73" s="58" t="s">
        <v>264</v>
      </c>
      <c r="P73" s="3"/>
      <c r="Q73" s="126">
        <f>Q74+Q75+Q76</f>
        <v>5415</v>
      </c>
      <c r="R73" s="126">
        <f>R74+R75+R76</f>
        <v>6084.7</v>
      </c>
      <c r="S73" s="126">
        <f>S74+S75+S76</f>
        <v>5584.7</v>
      </c>
    </row>
    <row r="74" spans="8:19" ht="18.75">
      <c r="H74" s="2" t="s">
        <v>204</v>
      </c>
      <c r="I74" s="263"/>
      <c r="J74" s="11">
        <v>1</v>
      </c>
      <c r="K74" s="11">
        <v>6</v>
      </c>
      <c r="L74" s="57" t="s">
        <v>225</v>
      </c>
      <c r="M74" s="58" t="s">
        <v>368</v>
      </c>
      <c r="N74" s="58" t="s">
        <v>221</v>
      </c>
      <c r="O74" s="58" t="s">
        <v>264</v>
      </c>
      <c r="P74" s="3">
        <v>120</v>
      </c>
      <c r="Q74" s="126">
        <f>'приложение 5'!Q666</f>
        <v>4607.7</v>
      </c>
      <c r="R74" s="126">
        <f>'приложение 5'!R666</f>
        <v>5303.4</v>
      </c>
      <c r="S74" s="126">
        <f>'приложение 5'!S666</f>
        <v>5258.4</v>
      </c>
    </row>
    <row r="75" spans="8:19" ht="18.75">
      <c r="H75" s="2" t="s">
        <v>299</v>
      </c>
      <c r="I75" s="263"/>
      <c r="J75" s="11">
        <v>1</v>
      </c>
      <c r="K75" s="11">
        <v>6</v>
      </c>
      <c r="L75" s="57" t="s">
        <v>225</v>
      </c>
      <c r="M75" s="58" t="s">
        <v>368</v>
      </c>
      <c r="N75" s="58" t="s">
        <v>221</v>
      </c>
      <c r="O75" s="58" t="s">
        <v>264</v>
      </c>
      <c r="P75" s="3">
        <v>240</v>
      </c>
      <c r="Q75" s="126">
        <f>'приложение 5'!Q667</f>
        <v>774.3</v>
      </c>
      <c r="R75" s="126">
        <f>'приложение 5'!R667</f>
        <v>774.3</v>
      </c>
      <c r="S75" s="126">
        <f>'приложение 5'!S667</f>
        <v>324.3</v>
      </c>
    </row>
    <row r="76" spans="8:19" ht="18.75">
      <c r="H76" s="2" t="s">
        <v>300</v>
      </c>
      <c r="I76" s="263"/>
      <c r="J76" s="11">
        <v>1</v>
      </c>
      <c r="K76" s="11">
        <v>6</v>
      </c>
      <c r="L76" s="57" t="s">
        <v>225</v>
      </c>
      <c r="M76" s="58" t="s">
        <v>368</v>
      </c>
      <c r="N76" s="58" t="s">
        <v>221</v>
      </c>
      <c r="O76" s="58" t="s">
        <v>264</v>
      </c>
      <c r="P76" s="3">
        <v>850</v>
      </c>
      <c r="Q76" s="126">
        <f>'приложение 5'!Q668</f>
        <v>33</v>
      </c>
      <c r="R76" s="126">
        <f>'приложение 5'!R668</f>
        <v>7</v>
      </c>
      <c r="S76" s="126">
        <f>'приложение 5'!S668</f>
        <v>2</v>
      </c>
    </row>
    <row r="77" spans="8:19" ht="31.5">
      <c r="H77" s="2" t="s">
        <v>374</v>
      </c>
      <c r="I77" s="263"/>
      <c r="J77" s="4">
        <v>1</v>
      </c>
      <c r="K77" s="11">
        <v>6</v>
      </c>
      <c r="L77" s="57" t="s">
        <v>225</v>
      </c>
      <c r="M77" s="58" t="s">
        <v>368</v>
      </c>
      <c r="N77" s="58" t="s">
        <v>221</v>
      </c>
      <c r="O77" s="58" t="s">
        <v>373</v>
      </c>
      <c r="P77" s="3"/>
      <c r="Q77" s="126">
        <f>Q78</f>
        <v>3549.9</v>
      </c>
      <c r="R77" s="126">
        <f>R78</f>
        <v>3549.9</v>
      </c>
      <c r="S77" s="126">
        <f>S78</f>
        <v>3549.9</v>
      </c>
    </row>
    <row r="78" spans="8:19" ht="18.75">
      <c r="H78" s="2" t="s">
        <v>204</v>
      </c>
      <c r="I78" s="263"/>
      <c r="J78" s="4">
        <v>1</v>
      </c>
      <c r="K78" s="11">
        <v>6</v>
      </c>
      <c r="L78" s="57" t="s">
        <v>225</v>
      </c>
      <c r="M78" s="58" t="s">
        <v>368</v>
      </c>
      <c r="N78" s="58" t="s">
        <v>221</v>
      </c>
      <c r="O78" s="58" t="s">
        <v>373</v>
      </c>
      <c r="P78" s="3">
        <v>120</v>
      </c>
      <c r="Q78" s="124">
        <f>'приложение 5'!Q670</f>
        <v>3549.9</v>
      </c>
      <c r="R78" s="124">
        <f>'приложение 5'!R670</f>
        <v>3549.9</v>
      </c>
      <c r="S78" s="124">
        <f>'приложение 5'!S670</f>
        <v>3549.9</v>
      </c>
    </row>
    <row r="79" spans="8:19" ht="18.75">
      <c r="H79" s="2" t="s">
        <v>342</v>
      </c>
      <c r="I79" s="263"/>
      <c r="J79" s="15">
        <v>1</v>
      </c>
      <c r="K79" s="11">
        <v>6</v>
      </c>
      <c r="L79" s="57" t="s">
        <v>225</v>
      </c>
      <c r="M79" s="58" t="s">
        <v>368</v>
      </c>
      <c r="N79" s="58" t="s">
        <v>221</v>
      </c>
      <c r="O79" s="58" t="s">
        <v>341</v>
      </c>
      <c r="P79" s="3"/>
      <c r="Q79" s="126">
        <f>Q80</f>
        <v>45.6</v>
      </c>
      <c r="R79" s="126">
        <f>R80</f>
        <v>45.6</v>
      </c>
      <c r="S79" s="126">
        <f>S80</f>
        <v>45.6</v>
      </c>
    </row>
    <row r="80" spans="8:19" ht="18.75">
      <c r="H80" s="2" t="s">
        <v>299</v>
      </c>
      <c r="I80" s="263"/>
      <c r="J80" s="15">
        <v>1</v>
      </c>
      <c r="K80" s="11">
        <v>6</v>
      </c>
      <c r="L80" s="57" t="s">
        <v>225</v>
      </c>
      <c r="M80" s="58" t="s">
        <v>368</v>
      </c>
      <c r="N80" s="58" t="s">
        <v>221</v>
      </c>
      <c r="O80" s="58" t="s">
        <v>341</v>
      </c>
      <c r="P80" s="3">
        <v>240</v>
      </c>
      <c r="Q80" s="126">
        <f>'приложение 5'!Q672</f>
        <v>45.6</v>
      </c>
      <c r="R80" s="126">
        <f>'приложение 5'!R672</f>
        <v>45.6</v>
      </c>
      <c r="S80" s="126">
        <f>'приложение 5'!S672</f>
        <v>45.6</v>
      </c>
    </row>
    <row r="81" spans="8:19" ht="18.75">
      <c r="H81" s="70" t="s">
        <v>578</v>
      </c>
      <c r="I81" s="264"/>
      <c r="J81" s="15">
        <v>1</v>
      </c>
      <c r="K81" s="11">
        <v>6</v>
      </c>
      <c r="L81" s="57" t="s">
        <v>225</v>
      </c>
      <c r="M81" s="58" t="s">
        <v>217</v>
      </c>
      <c r="N81" s="58" t="s">
        <v>229</v>
      </c>
      <c r="O81" s="58" t="s">
        <v>261</v>
      </c>
      <c r="P81" s="3"/>
      <c r="Q81" s="126">
        <f aca="true" t="shared" si="3" ref="Q81:S82">Q82</f>
        <v>20</v>
      </c>
      <c r="R81" s="126">
        <f t="shared" si="3"/>
        <v>20</v>
      </c>
      <c r="S81" s="126">
        <f t="shared" si="3"/>
        <v>20</v>
      </c>
    </row>
    <row r="82" spans="8:19" ht="31.5">
      <c r="H82" s="8" t="s">
        <v>579</v>
      </c>
      <c r="I82" s="263"/>
      <c r="J82" s="4">
        <v>1</v>
      </c>
      <c r="K82" s="11">
        <v>6</v>
      </c>
      <c r="L82" s="57" t="s">
        <v>225</v>
      </c>
      <c r="M82" s="58" t="s">
        <v>217</v>
      </c>
      <c r="N82" s="58" t="s">
        <v>221</v>
      </c>
      <c r="O82" s="58" t="s">
        <v>261</v>
      </c>
      <c r="P82" s="3"/>
      <c r="Q82" s="126">
        <f t="shared" si="3"/>
        <v>20</v>
      </c>
      <c r="R82" s="126">
        <f t="shared" si="3"/>
        <v>20</v>
      </c>
      <c r="S82" s="126">
        <f t="shared" si="3"/>
        <v>20</v>
      </c>
    </row>
    <row r="83" spans="8:19" ht="18.75">
      <c r="H83" s="2" t="s">
        <v>459</v>
      </c>
      <c r="I83" s="263"/>
      <c r="J83" s="4">
        <v>1</v>
      </c>
      <c r="K83" s="11">
        <v>6</v>
      </c>
      <c r="L83" s="57" t="s">
        <v>225</v>
      </c>
      <c r="M83" s="58" t="s">
        <v>217</v>
      </c>
      <c r="N83" s="58" t="s">
        <v>221</v>
      </c>
      <c r="O83" s="58" t="s">
        <v>512</v>
      </c>
      <c r="P83" s="3"/>
      <c r="Q83" s="126">
        <f>Q84+Q85</f>
        <v>20</v>
      </c>
      <c r="R83" s="126">
        <f>R84+R85</f>
        <v>20</v>
      </c>
      <c r="S83" s="126">
        <f>S84+S85</f>
        <v>20</v>
      </c>
    </row>
    <row r="84" spans="8:19" ht="18.75">
      <c r="H84" s="2" t="s">
        <v>299</v>
      </c>
      <c r="I84" s="263"/>
      <c r="J84" s="11">
        <v>1</v>
      </c>
      <c r="K84" s="11">
        <v>6</v>
      </c>
      <c r="L84" s="57" t="s">
        <v>225</v>
      </c>
      <c r="M84" s="58" t="s">
        <v>217</v>
      </c>
      <c r="N84" s="58" t="s">
        <v>221</v>
      </c>
      <c r="O84" s="58" t="s">
        <v>512</v>
      </c>
      <c r="P84" s="3">
        <v>240</v>
      </c>
      <c r="Q84" s="126">
        <f>'приложение 5'!Q676</f>
        <v>20</v>
      </c>
      <c r="R84" s="126">
        <f>'приложение 5'!R676</f>
        <v>20</v>
      </c>
      <c r="S84" s="126">
        <f>'приложение 5'!S676</f>
        <v>20</v>
      </c>
    </row>
    <row r="85" spans="8:19" ht="18.75" hidden="1">
      <c r="H85" s="2" t="s">
        <v>299</v>
      </c>
      <c r="I85" s="263"/>
      <c r="J85" s="11">
        <v>1</v>
      </c>
      <c r="K85" s="11">
        <v>6</v>
      </c>
      <c r="L85" s="57" t="s">
        <v>225</v>
      </c>
      <c r="M85" s="58" t="s">
        <v>217</v>
      </c>
      <c r="N85" s="58" t="s">
        <v>221</v>
      </c>
      <c r="O85" s="58" t="s">
        <v>512</v>
      </c>
      <c r="P85" s="3">
        <v>850</v>
      </c>
      <c r="Q85" s="126">
        <f>'приложение 5'!Q677</f>
        <v>0</v>
      </c>
      <c r="R85" s="126">
        <f>'приложение 5'!R677</f>
        <v>0</v>
      </c>
      <c r="S85" s="126">
        <f>'приложение 5'!S677</f>
        <v>0</v>
      </c>
    </row>
    <row r="86" spans="8:19" ht="18.75">
      <c r="H86" s="2" t="s">
        <v>33</v>
      </c>
      <c r="I86" s="263"/>
      <c r="J86" s="11">
        <v>1</v>
      </c>
      <c r="K86" s="11">
        <v>6</v>
      </c>
      <c r="L86" s="11">
        <v>91</v>
      </c>
      <c r="M86" s="58" t="s">
        <v>220</v>
      </c>
      <c r="N86" s="58" t="s">
        <v>229</v>
      </c>
      <c r="O86" s="58" t="s">
        <v>261</v>
      </c>
      <c r="P86" s="7"/>
      <c r="Q86" s="124">
        <f>Q87+Q91</f>
        <v>1758.6</v>
      </c>
      <c r="R86" s="124">
        <f>R87+R91</f>
        <v>1813.8</v>
      </c>
      <c r="S86" s="124">
        <f>S87+S91</f>
        <v>1813.8</v>
      </c>
    </row>
    <row r="87" spans="8:19" ht="18.75">
      <c r="H87" s="2" t="s">
        <v>60</v>
      </c>
      <c r="I87" s="263"/>
      <c r="J87" s="11">
        <v>1</v>
      </c>
      <c r="K87" s="11">
        <v>6</v>
      </c>
      <c r="L87" s="11">
        <v>91</v>
      </c>
      <c r="M87" s="58" t="s">
        <v>220</v>
      </c>
      <c r="N87" s="58" t="s">
        <v>229</v>
      </c>
      <c r="O87" s="58" t="s">
        <v>264</v>
      </c>
      <c r="P87" s="7"/>
      <c r="Q87" s="124">
        <f>Q88+Q89+Q90</f>
        <v>1032.1</v>
      </c>
      <c r="R87" s="124">
        <f>R88+R89+R90</f>
        <v>1087.3</v>
      </c>
      <c r="S87" s="124">
        <f>S88+S89+S90</f>
        <v>1087.3</v>
      </c>
    </row>
    <row r="88" spans="8:19" ht="18.75">
      <c r="H88" s="2" t="s">
        <v>204</v>
      </c>
      <c r="I88" s="263"/>
      <c r="J88" s="11">
        <v>1</v>
      </c>
      <c r="K88" s="11">
        <v>6</v>
      </c>
      <c r="L88" s="11">
        <v>91</v>
      </c>
      <c r="M88" s="58" t="s">
        <v>220</v>
      </c>
      <c r="N88" s="58" t="s">
        <v>229</v>
      </c>
      <c r="O88" s="58" t="s">
        <v>264</v>
      </c>
      <c r="P88" s="7">
        <v>120</v>
      </c>
      <c r="Q88" s="124">
        <f>'приложение 5'!Q29</f>
        <v>1021.1</v>
      </c>
      <c r="R88" s="124">
        <f>'приложение 5'!R29</f>
        <v>1076.3</v>
      </c>
      <c r="S88" s="124">
        <f>'приложение 5'!S29</f>
        <v>1076.3</v>
      </c>
    </row>
    <row r="89" spans="8:19" ht="18.75">
      <c r="H89" s="2" t="s">
        <v>299</v>
      </c>
      <c r="I89" s="263"/>
      <c r="J89" s="11">
        <v>1</v>
      </c>
      <c r="K89" s="11">
        <v>6</v>
      </c>
      <c r="L89" s="11">
        <v>91</v>
      </c>
      <c r="M89" s="58" t="s">
        <v>220</v>
      </c>
      <c r="N89" s="58" t="s">
        <v>229</v>
      </c>
      <c r="O89" s="58" t="s">
        <v>264</v>
      </c>
      <c r="P89" s="7">
        <v>240</v>
      </c>
      <c r="Q89" s="124">
        <f>'приложение 5'!Q30</f>
        <v>10.9</v>
      </c>
      <c r="R89" s="124">
        <f>'приложение 5'!R30</f>
        <v>11</v>
      </c>
      <c r="S89" s="124">
        <f>'приложение 5'!S30</f>
        <v>11</v>
      </c>
    </row>
    <row r="90" spans="8:19" ht="18.75">
      <c r="H90" s="2" t="s">
        <v>300</v>
      </c>
      <c r="I90" s="263"/>
      <c r="J90" s="11">
        <v>1</v>
      </c>
      <c r="K90" s="11">
        <v>6</v>
      </c>
      <c r="L90" s="11">
        <v>91</v>
      </c>
      <c r="M90" s="58" t="s">
        <v>220</v>
      </c>
      <c r="N90" s="58" t="s">
        <v>229</v>
      </c>
      <c r="O90" s="58" t="s">
        <v>264</v>
      </c>
      <c r="P90" s="7">
        <v>850</v>
      </c>
      <c r="Q90" s="124">
        <f>'приложение 5'!Q31</f>
        <v>0.1</v>
      </c>
      <c r="R90" s="124">
        <f>'приложение 5'!R31</f>
        <v>0</v>
      </c>
      <c r="S90" s="124">
        <f>'приложение 5'!S31</f>
        <v>0</v>
      </c>
    </row>
    <row r="91" spans="8:19" ht="31.5">
      <c r="H91" s="2" t="s">
        <v>374</v>
      </c>
      <c r="I91" s="263"/>
      <c r="J91" s="11">
        <v>1</v>
      </c>
      <c r="K91" s="11">
        <v>6</v>
      </c>
      <c r="L91" s="11">
        <v>91</v>
      </c>
      <c r="M91" s="58" t="s">
        <v>220</v>
      </c>
      <c r="N91" s="58" t="s">
        <v>229</v>
      </c>
      <c r="O91" s="58" t="s">
        <v>373</v>
      </c>
      <c r="P91" s="7"/>
      <c r="Q91" s="124">
        <f>Q92</f>
        <v>726.5</v>
      </c>
      <c r="R91" s="124">
        <f>R92</f>
        <v>726.5</v>
      </c>
      <c r="S91" s="124">
        <f>S92</f>
        <v>726.5</v>
      </c>
    </row>
    <row r="92" spans="8:19" ht="18.75">
      <c r="H92" s="2" t="s">
        <v>204</v>
      </c>
      <c r="I92" s="263"/>
      <c r="J92" s="11">
        <v>1</v>
      </c>
      <c r="K92" s="11">
        <v>6</v>
      </c>
      <c r="L92" s="11">
        <v>91</v>
      </c>
      <c r="M92" s="58" t="s">
        <v>220</v>
      </c>
      <c r="N92" s="58" t="s">
        <v>229</v>
      </c>
      <c r="O92" s="58" t="s">
        <v>373</v>
      </c>
      <c r="P92" s="7">
        <v>120</v>
      </c>
      <c r="Q92" s="124">
        <f>'приложение 5'!Q33</f>
        <v>726.5</v>
      </c>
      <c r="R92" s="124">
        <f>'приложение 5'!R33</f>
        <v>726.5</v>
      </c>
      <c r="S92" s="124">
        <f>'приложение 5'!S33</f>
        <v>726.5</v>
      </c>
    </row>
    <row r="93" spans="8:19" ht="19.5">
      <c r="H93" s="96" t="s">
        <v>75</v>
      </c>
      <c r="I93" s="338"/>
      <c r="J93" s="86">
        <v>1</v>
      </c>
      <c r="K93" s="86">
        <v>11</v>
      </c>
      <c r="L93" s="87"/>
      <c r="M93" s="88"/>
      <c r="N93" s="88"/>
      <c r="O93" s="88"/>
      <c r="P93" s="85"/>
      <c r="Q93" s="123">
        <f>Q94</f>
        <v>155.3</v>
      </c>
      <c r="R93" s="123">
        <f aca="true" t="shared" si="4" ref="R93:S95">R94</f>
        <v>500</v>
      </c>
      <c r="S93" s="123">
        <f t="shared" si="4"/>
        <v>500</v>
      </c>
    </row>
    <row r="94" spans="8:19" ht="18.75">
      <c r="H94" s="2" t="s">
        <v>75</v>
      </c>
      <c r="I94" s="263"/>
      <c r="J94" s="11">
        <v>1</v>
      </c>
      <c r="K94" s="11">
        <v>11</v>
      </c>
      <c r="L94" s="57" t="s">
        <v>61</v>
      </c>
      <c r="M94" s="58" t="s">
        <v>220</v>
      </c>
      <c r="N94" s="58" t="s">
        <v>229</v>
      </c>
      <c r="O94" s="58" t="s">
        <v>261</v>
      </c>
      <c r="P94" s="7"/>
      <c r="Q94" s="124">
        <f>Q95</f>
        <v>155.3</v>
      </c>
      <c r="R94" s="124">
        <f t="shared" si="4"/>
        <v>500</v>
      </c>
      <c r="S94" s="124">
        <f t="shared" si="4"/>
        <v>500</v>
      </c>
    </row>
    <row r="95" spans="8:19" ht="18.75">
      <c r="H95" s="2" t="s">
        <v>69</v>
      </c>
      <c r="I95" s="263"/>
      <c r="J95" s="11">
        <v>1</v>
      </c>
      <c r="K95" s="11">
        <v>11</v>
      </c>
      <c r="L95" s="57" t="s">
        <v>61</v>
      </c>
      <c r="M95" s="58" t="s">
        <v>231</v>
      </c>
      <c r="N95" s="58" t="s">
        <v>229</v>
      </c>
      <c r="O95" s="58" t="s">
        <v>261</v>
      </c>
      <c r="P95" s="7"/>
      <c r="Q95" s="124">
        <f>Q96</f>
        <v>155.3</v>
      </c>
      <c r="R95" s="124">
        <f t="shared" si="4"/>
        <v>500</v>
      </c>
      <c r="S95" s="124">
        <f t="shared" si="4"/>
        <v>500</v>
      </c>
    </row>
    <row r="96" spans="8:19" ht="18.75">
      <c r="H96" s="2" t="s">
        <v>213</v>
      </c>
      <c r="I96" s="263"/>
      <c r="J96" s="11">
        <v>1</v>
      </c>
      <c r="K96" s="11">
        <v>11</v>
      </c>
      <c r="L96" s="57" t="s">
        <v>61</v>
      </c>
      <c r="M96" s="58" t="s">
        <v>231</v>
      </c>
      <c r="N96" s="58" t="s">
        <v>229</v>
      </c>
      <c r="O96" s="58" t="s">
        <v>261</v>
      </c>
      <c r="P96" s="7">
        <v>870</v>
      </c>
      <c r="Q96" s="124">
        <f>'приложение 5'!Q60</f>
        <v>155.3</v>
      </c>
      <c r="R96" s="124">
        <f>'приложение 5'!R60</f>
        <v>500</v>
      </c>
      <c r="S96" s="124">
        <f>'приложение 5'!S60</f>
        <v>500</v>
      </c>
    </row>
    <row r="97" spans="8:19" ht="19.5">
      <c r="H97" s="96" t="s">
        <v>206</v>
      </c>
      <c r="I97" s="338"/>
      <c r="J97" s="86">
        <v>1</v>
      </c>
      <c r="K97" s="86">
        <v>13</v>
      </c>
      <c r="L97" s="87"/>
      <c r="M97" s="88"/>
      <c r="N97" s="88"/>
      <c r="O97" s="88"/>
      <c r="P97" s="85"/>
      <c r="Q97" s="123">
        <f>Q98+Q110+Q120+Q125+Q147+Q186</f>
        <v>84915.59999999999</v>
      </c>
      <c r="R97" s="123">
        <f>R98+R110+R120+R125+R147+R186</f>
        <v>70912.30000000002</v>
      </c>
      <c r="S97" s="123">
        <f>S98+S110+S120+S125+S147+S186</f>
        <v>71400.80000000002</v>
      </c>
    </row>
    <row r="98" spans="8:19" ht="31.5">
      <c r="H98" s="2" t="s">
        <v>520</v>
      </c>
      <c r="I98" s="263"/>
      <c r="J98" s="11">
        <v>1</v>
      </c>
      <c r="K98" s="11">
        <v>13</v>
      </c>
      <c r="L98" s="57" t="s">
        <v>236</v>
      </c>
      <c r="M98" s="58" t="s">
        <v>220</v>
      </c>
      <c r="N98" s="58" t="s">
        <v>229</v>
      </c>
      <c r="O98" s="58" t="s">
        <v>261</v>
      </c>
      <c r="P98" s="7"/>
      <c r="Q98" s="124">
        <f>Q99+Q103+Q107</f>
        <v>425</v>
      </c>
      <c r="R98" s="124">
        <f>R99+R103+R107</f>
        <v>319</v>
      </c>
      <c r="S98" s="124">
        <f>S99+S103+S107</f>
        <v>391</v>
      </c>
    </row>
    <row r="99" spans="8:19" ht="18.75">
      <c r="H99" s="2" t="s">
        <v>365</v>
      </c>
      <c r="I99" s="281"/>
      <c r="J99" s="11">
        <v>1</v>
      </c>
      <c r="K99" s="11">
        <v>13</v>
      </c>
      <c r="L99" s="57" t="s">
        <v>236</v>
      </c>
      <c r="M99" s="58" t="s">
        <v>220</v>
      </c>
      <c r="N99" s="58" t="s">
        <v>221</v>
      </c>
      <c r="O99" s="58" t="s">
        <v>261</v>
      </c>
      <c r="P99" s="7"/>
      <c r="Q99" s="124">
        <f>Q100</f>
        <v>252.9</v>
      </c>
      <c r="R99" s="124">
        <f>R100</f>
        <v>200</v>
      </c>
      <c r="S99" s="124">
        <f>S100</f>
        <v>250</v>
      </c>
    </row>
    <row r="100" spans="8:19" ht="31.5">
      <c r="H100" s="26" t="s">
        <v>0</v>
      </c>
      <c r="I100" s="135"/>
      <c r="J100" s="11">
        <v>1</v>
      </c>
      <c r="K100" s="11">
        <v>13</v>
      </c>
      <c r="L100" s="57" t="s">
        <v>236</v>
      </c>
      <c r="M100" s="58" t="s">
        <v>220</v>
      </c>
      <c r="N100" s="58" t="s">
        <v>221</v>
      </c>
      <c r="O100" s="58" t="s">
        <v>1</v>
      </c>
      <c r="P100" s="7"/>
      <c r="Q100" s="124">
        <f>Q101+Q102</f>
        <v>252.9</v>
      </c>
      <c r="R100" s="124">
        <f>R101+R102</f>
        <v>200</v>
      </c>
      <c r="S100" s="124">
        <f>S101+S102</f>
        <v>250</v>
      </c>
    </row>
    <row r="101" spans="8:19" ht="18.75">
      <c r="H101" s="2" t="s">
        <v>257</v>
      </c>
      <c r="I101" s="263"/>
      <c r="J101" s="11">
        <v>1</v>
      </c>
      <c r="K101" s="11">
        <v>13</v>
      </c>
      <c r="L101" s="57" t="s">
        <v>236</v>
      </c>
      <c r="M101" s="58" t="s">
        <v>220</v>
      </c>
      <c r="N101" s="58" t="s">
        <v>221</v>
      </c>
      <c r="O101" s="58" t="s">
        <v>1</v>
      </c>
      <c r="P101" s="7">
        <v>340</v>
      </c>
      <c r="Q101" s="124">
        <f>'приложение 5'!Q65</f>
        <v>250</v>
      </c>
      <c r="R101" s="124">
        <f>'приложение 5'!R65</f>
        <v>200</v>
      </c>
      <c r="S101" s="124">
        <f>'приложение 5'!S65</f>
        <v>250</v>
      </c>
    </row>
    <row r="102" spans="8:19" ht="18.75">
      <c r="H102" s="2" t="s">
        <v>299</v>
      </c>
      <c r="I102" s="263"/>
      <c r="J102" s="11">
        <v>1</v>
      </c>
      <c r="K102" s="11">
        <v>13</v>
      </c>
      <c r="L102" s="57" t="s">
        <v>236</v>
      </c>
      <c r="M102" s="58" t="s">
        <v>220</v>
      </c>
      <c r="N102" s="58" t="s">
        <v>221</v>
      </c>
      <c r="O102" s="58" t="s">
        <v>1</v>
      </c>
      <c r="P102" s="7">
        <v>240</v>
      </c>
      <c r="Q102" s="124">
        <f>'приложение 5'!Q66</f>
        <v>2.9</v>
      </c>
      <c r="R102" s="124">
        <f>'приложение 5'!R66</f>
        <v>0</v>
      </c>
      <c r="S102" s="124">
        <f>'приложение 5'!S66</f>
        <v>0</v>
      </c>
    </row>
    <row r="103" spans="8:19" ht="18.75">
      <c r="H103" s="2" t="s">
        <v>366</v>
      </c>
      <c r="I103" s="263"/>
      <c r="J103" s="11">
        <v>1</v>
      </c>
      <c r="K103" s="11">
        <v>13</v>
      </c>
      <c r="L103" s="57" t="s">
        <v>236</v>
      </c>
      <c r="M103" s="58" t="s">
        <v>220</v>
      </c>
      <c r="N103" s="58" t="s">
        <v>236</v>
      </c>
      <c r="O103" s="58" t="s">
        <v>261</v>
      </c>
      <c r="P103" s="7"/>
      <c r="Q103" s="124">
        <f>Q104</f>
        <v>165.1</v>
      </c>
      <c r="R103" s="124">
        <f>R104</f>
        <v>119</v>
      </c>
      <c r="S103" s="124">
        <f>S104</f>
        <v>134</v>
      </c>
    </row>
    <row r="104" spans="8:19" ht="31.5">
      <c r="H104" s="2" t="s">
        <v>0</v>
      </c>
      <c r="I104" s="263"/>
      <c r="J104" s="11">
        <v>1</v>
      </c>
      <c r="K104" s="11">
        <v>13</v>
      </c>
      <c r="L104" s="57" t="s">
        <v>236</v>
      </c>
      <c r="M104" s="58" t="s">
        <v>220</v>
      </c>
      <c r="N104" s="58" t="s">
        <v>236</v>
      </c>
      <c r="O104" s="58" t="s">
        <v>1</v>
      </c>
      <c r="P104" s="7"/>
      <c r="Q104" s="124">
        <f>Q105+Q106</f>
        <v>165.1</v>
      </c>
      <c r="R104" s="124">
        <f>R105+R106</f>
        <v>119</v>
      </c>
      <c r="S104" s="124">
        <f>S105+S106</f>
        <v>134</v>
      </c>
    </row>
    <row r="105" spans="8:19" ht="18.75">
      <c r="H105" s="2" t="s">
        <v>204</v>
      </c>
      <c r="I105" s="263"/>
      <c r="J105" s="11">
        <v>1</v>
      </c>
      <c r="K105" s="11">
        <v>13</v>
      </c>
      <c r="L105" s="57" t="s">
        <v>236</v>
      </c>
      <c r="M105" s="58" t="s">
        <v>220</v>
      </c>
      <c r="N105" s="58" t="s">
        <v>236</v>
      </c>
      <c r="O105" s="58" t="s">
        <v>1</v>
      </c>
      <c r="P105" s="7">
        <v>120</v>
      </c>
      <c r="Q105" s="124">
        <f>'приложение 5'!Q69</f>
        <v>62.1</v>
      </c>
      <c r="R105" s="124">
        <f>+'приложение 5'!R69</f>
        <v>23</v>
      </c>
      <c r="S105" s="124">
        <f>'приложение 5'!S69</f>
        <v>38</v>
      </c>
    </row>
    <row r="106" spans="8:19" ht="18.75">
      <c r="H106" s="2" t="s">
        <v>299</v>
      </c>
      <c r="I106" s="263"/>
      <c r="J106" s="11">
        <v>1</v>
      </c>
      <c r="K106" s="11">
        <v>13</v>
      </c>
      <c r="L106" s="57" t="s">
        <v>236</v>
      </c>
      <c r="M106" s="58" t="s">
        <v>220</v>
      </c>
      <c r="N106" s="58" t="s">
        <v>236</v>
      </c>
      <c r="O106" s="58" t="s">
        <v>1</v>
      </c>
      <c r="P106" s="7">
        <v>240</v>
      </c>
      <c r="Q106" s="124">
        <f>'приложение 5'!Q70</f>
        <v>103</v>
      </c>
      <c r="R106" s="124">
        <f>'приложение 5'!R70</f>
        <v>96</v>
      </c>
      <c r="S106" s="124">
        <f>'приложение 5'!S70</f>
        <v>96</v>
      </c>
    </row>
    <row r="107" spans="8:19" ht="18.75">
      <c r="H107" s="25" t="s">
        <v>521</v>
      </c>
      <c r="I107" s="263"/>
      <c r="J107" s="11">
        <v>1</v>
      </c>
      <c r="K107" s="11">
        <v>13</v>
      </c>
      <c r="L107" s="57" t="s">
        <v>236</v>
      </c>
      <c r="M107" s="58" t="s">
        <v>220</v>
      </c>
      <c r="N107" s="58" t="s">
        <v>237</v>
      </c>
      <c r="O107" s="58" t="s">
        <v>261</v>
      </c>
      <c r="P107" s="7"/>
      <c r="Q107" s="124">
        <f aca="true" t="shared" si="5" ref="Q107:S108">Q108</f>
        <v>7</v>
      </c>
      <c r="R107" s="124">
        <f t="shared" si="5"/>
        <v>0</v>
      </c>
      <c r="S107" s="124">
        <f t="shared" si="5"/>
        <v>7</v>
      </c>
    </row>
    <row r="108" spans="8:19" ht="31.5">
      <c r="H108" s="25" t="s">
        <v>0</v>
      </c>
      <c r="I108" s="263"/>
      <c r="J108" s="11">
        <v>1</v>
      </c>
      <c r="K108" s="11">
        <v>13</v>
      </c>
      <c r="L108" s="57" t="s">
        <v>236</v>
      </c>
      <c r="M108" s="58" t="s">
        <v>220</v>
      </c>
      <c r="N108" s="58" t="s">
        <v>237</v>
      </c>
      <c r="O108" s="58" t="s">
        <v>1</v>
      </c>
      <c r="P108" s="7"/>
      <c r="Q108" s="124">
        <f t="shared" si="5"/>
        <v>7</v>
      </c>
      <c r="R108" s="124">
        <f t="shared" si="5"/>
        <v>0</v>
      </c>
      <c r="S108" s="124">
        <f t="shared" si="5"/>
        <v>7</v>
      </c>
    </row>
    <row r="109" spans="8:19" ht="18.75">
      <c r="H109" s="2" t="s">
        <v>299</v>
      </c>
      <c r="I109" s="263"/>
      <c r="J109" s="11">
        <v>1</v>
      </c>
      <c r="K109" s="11">
        <v>13</v>
      </c>
      <c r="L109" s="57" t="s">
        <v>236</v>
      </c>
      <c r="M109" s="58" t="s">
        <v>220</v>
      </c>
      <c r="N109" s="58" t="s">
        <v>237</v>
      </c>
      <c r="O109" s="58" t="s">
        <v>1</v>
      </c>
      <c r="P109" s="7">
        <v>240</v>
      </c>
      <c r="Q109" s="124">
        <f>'приложение 5'!Q73</f>
        <v>7</v>
      </c>
      <c r="R109" s="124">
        <f>'приложение 5'!R73</f>
        <v>0</v>
      </c>
      <c r="S109" s="124">
        <f>'приложение 5'!S73</f>
        <v>7</v>
      </c>
    </row>
    <row r="110" spans="8:19" ht="31.5">
      <c r="H110" s="2" t="s">
        <v>573</v>
      </c>
      <c r="I110" s="263"/>
      <c r="J110" s="4">
        <v>1</v>
      </c>
      <c r="K110" s="11">
        <v>13</v>
      </c>
      <c r="L110" s="57" t="s">
        <v>225</v>
      </c>
      <c r="M110" s="58" t="s">
        <v>220</v>
      </c>
      <c r="N110" s="58" t="s">
        <v>229</v>
      </c>
      <c r="O110" s="58" t="s">
        <v>261</v>
      </c>
      <c r="P110" s="3"/>
      <c r="Q110" s="126">
        <f aca="true" t="shared" si="6" ref="Q110:S111">Q111</f>
        <v>17403.5</v>
      </c>
      <c r="R110" s="126">
        <f t="shared" si="6"/>
        <v>18233.2</v>
      </c>
      <c r="S110" s="126">
        <f t="shared" si="6"/>
        <v>17733.2</v>
      </c>
    </row>
    <row r="111" spans="8:19" ht="31.5">
      <c r="H111" s="2" t="s">
        <v>576</v>
      </c>
      <c r="I111" s="263"/>
      <c r="J111" s="11">
        <v>1</v>
      </c>
      <c r="K111" s="11">
        <v>13</v>
      </c>
      <c r="L111" s="57" t="s">
        <v>225</v>
      </c>
      <c r="M111" s="58" t="s">
        <v>368</v>
      </c>
      <c r="N111" s="58" t="s">
        <v>229</v>
      </c>
      <c r="O111" s="58" t="s">
        <v>261</v>
      </c>
      <c r="P111" s="3"/>
      <c r="Q111" s="126">
        <f t="shared" si="6"/>
        <v>17403.5</v>
      </c>
      <c r="R111" s="126">
        <f t="shared" si="6"/>
        <v>18233.2</v>
      </c>
      <c r="S111" s="126">
        <f t="shared" si="6"/>
        <v>17733.2</v>
      </c>
    </row>
    <row r="112" spans="8:19" ht="31.5">
      <c r="H112" s="2" t="s">
        <v>296</v>
      </c>
      <c r="I112" s="263"/>
      <c r="J112" s="11">
        <v>1</v>
      </c>
      <c r="K112" s="11">
        <v>13</v>
      </c>
      <c r="L112" s="57" t="s">
        <v>225</v>
      </c>
      <c r="M112" s="58" t="s">
        <v>368</v>
      </c>
      <c r="N112" s="58" t="s">
        <v>236</v>
      </c>
      <c r="O112" s="58" t="s">
        <v>261</v>
      </c>
      <c r="P112" s="3"/>
      <c r="Q112" s="126">
        <f>Q113+Q118</f>
        <v>17403.5</v>
      </c>
      <c r="R112" s="126">
        <f>R113+R118</f>
        <v>18233.2</v>
      </c>
      <c r="S112" s="126">
        <f>S113+S118</f>
        <v>17733.2</v>
      </c>
    </row>
    <row r="113" spans="8:19" ht="18.75">
      <c r="H113" s="2" t="s">
        <v>62</v>
      </c>
      <c r="I113" s="263"/>
      <c r="J113" s="11">
        <v>1</v>
      </c>
      <c r="K113" s="11">
        <v>13</v>
      </c>
      <c r="L113" s="57" t="s">
        <v>225</v>
      </c>
      <c r="M113" s="58" t="s">
        <v>368</v>
      </c>
      <c r="N113" s="58" t="s">
        <v>236</v>
      </c>
      <c r="O113" s="58" t="s">
        <v>63</v>
      </c>
      <c r="P113" s="3"/>
      <c r="Q113" s="126">
        <f>Q114+Q115+Q116+Q117</f>
        <v>10429.2</v>
      </c>
      <c r="R113" s="126">
        <f>R114+R115+R116+R117</f>
        <v>11258.9</v>
      </c>
      <c r="S113" s="126">
        <f>S114+S115+S116+S117</f>
        <v>10758.9</v>
      </c>
    </row>
    <row r="114" spans="8:19" ht="18.75">
      <c r="H114" s="2" t="s">
        <v>302</v>
      </c>
      <c r="I114" s="263"/>
      <c r="J114" s="11">
        <v>1</v>
      </c>
      <c r="K114" s="11">
        <v>13</v>
      </c>
      <c r="L114" s="57" t="s">
        <v>225</v>
      </c>
      <c r="M114" s="58" t="s">
        <v>368</v>
      </c>
      <c r="N114" s="58" t="s">
        <v>236</v>
      </c>
      <c r="O114" s="58" t="s">
        <v>63</v>
      </c>
      <c r="P114" s="3">
        <v>110</v>
      </c>
      <c r="Q114" s="126">
        <f>'приложение 5'!Q683</f>
        <v>9799.2</v>
      </c>
      <c r="R114" s="126">
        <f>'приложение 5'!R683</f>
        <v>10362.1</v>
      </c>
      <c r="S114" s="126">
        <f>'приложение 5'!S683</f>
        <v>10331</v>
      </c>
    </row>
    <row r="115" spans="8:19" ht="18.75">
      <c r="H115" s="2" t="s">
        <v>299</v>
      </c>
      <c r="I115" s="263"/>
      <c r="J115" s="11">
        <v>1</v>
      </c>
      <c r="K115" s="11">
        <v>13</v>
      </c>
      <c r="L115" s="57" t="s">
        <v>225</v>
      </c>
      <c r="M115" s="58" t="s">
        <v>368</v>
      </c>
      <c r="N115" s="58" t="s">
        <v>236</v>
      </c>
      <c r="O115" s="58" t="s">
        <v>63</v>
      </c>
      <c r="P115" s="3">
        <v>240</v>
      </c>
      <c r="Q115" s="126">
        <f>'приложение 5'!Q684</f>
        <v>628</v>
      </c>
      <c r="R115" s="126">
        <f>'приложение 5'!R684</f>
        <v>896.8</v>
      </c>
      <c r="S115" s="126">
        <f>'приложение 5'!S684</f>
        <v>427.9</v>
      </c>
    </row>
    <row r="116" spans="8:19" ht="18.75">
      <c r="H116" s="2" t="s">
        <v>304</v>
      </c>
      <c r="I116" s="263"/>
      <c r="J116" s="11">
        <v>1</v>
      </c>
      <c r="K116" s="11">
        <v>13</v>
      </c>
      <c r="L116" s="57" t="s">
        <v>225</v>
      </c>
      <c r="M116" s="58" t="s">
        <v>368</v>
      </c>
      <c r="N116" s="58" t="s">
        <v>236</v>
      </c>
      <c r="O116" s="58" t="s">
        <v>63</v>
      </c>
      <c r="P116" s="3">
        <v>320</v>
      </c>
      <c r="Q116" s="126">
        <f>'приложение 5'!Q685</f>
        <v>2</v>
      </c>
      <c r="R116" s="126">
        <f>'приложение 5'!R685</f>
        <v>0</v>
      </c>
      <c r="S116" s="126">
        <f>'приложение 5'!S685</f>
        <v>0</v>
      </c>
    </row>
    <row r="117" spans="8:19" ht="18.75" hidden="1">
      <c r="H117" s="2" t="s">
        <v>300</v>
      </c>
      <c r="I117" s="263"/>
      <c r="J117" s="11">
        <v>1</v>
      </c>
      <c r="K117" s="11">
        <v>13</v>
      </c>
      <c r="L117" s="57" t="s">
        <v>225</v>
      </c>
      <c r="M117" s="58" t="s">
        <v>368</v>
      </c>
      <c r="N117" s="58" t="s">
        <v>236</v>
      </c>
      <c r="O117" s="58" t="s">
        <v>63</v>
      </c>
      <c r="P117" s="3">
        <v>850</v>
      </c>
      <c r="Q117" s="126">
        <f>'приложение 5'!Q686</f>
        <v>0</v>
      </c>
      <c r="R117" s="126">
        <f>'приложение 5'!R686</f>
        <v>0</v>
      </c>
      <c r="S117" s="126">
        <f>'приложение 5'!S686</f>
        <v>0</v>
      </c>
    </row>
    <row r="118" spans="8:19" ht="31.5">
      <c r="H118" s="2" t="s">
        <v>374</v>
      </c>
      <c r="I118" s="263"/>
      <c r="J118" s="11">
        <v>1</v>
      </c>
      <c r="K118" s="11">
        <v>13</v>
      </c>
      <c r="L118" s="57" t="s">
        <v>225</v>
      </c>
      <c r="M118" s="58" t="s">
        <v>368</v>
      </c>
      <c r="N118" s="58" t="s">
        <v>236</v>
      </c>
      <c r="O118" s="58" t="s">
        <v>373</v>
      </c>
      <c r="P118" s="3"/>
      <c r="Q118" s="126">
        <f>Q119</f>
        <v>6974.3</v>
      </c>
      <c r="R118" s="126">
        <f>R119</f>
        <v>6974.3</v>
      </c>
      <c r="S118" s="126">
        <f>S119</f>
        <v>6974.3</v>
      </c>
    </row>
    <row r="119" spans="8:19" ht="18.75">
      <c r="H119" s="2" t="s">
        <v>302</v>
      </c>
      <c r="I119" s="263"/>
      <c r="J119" s="11">
        <v>1</v>
      </c>
      <c r="K119" s="11">
        <v>13</v>
      </c>
      <c r="L119" s="57" t="s">
        <v>225</v>
      </c>
      <c r="M119" s="58" t="s">
        <v>368</v>
      </c>
      <c r="N119" s="58" t="s">
        <v>236</v>
      </c>
      <c r="O119" s="58" t="s">
        <v>373</v>
      </c>
      <c r="P119" s="3">
        <v>110</v>
      </c>
      <c r="Q119" s="126">
        <f>'приложение 5'!Q688</f>
        <v>6974.3</v>
      </c>
      <c r="R119" s="126">
        <f>'приложение 5'!R688</f>
        <v>6974.3</v>
      </c>
      <c r="S119" s="126">
        <f>'приложение 5'!S688</f>
        <v>6974.3</v>
      </c>
    </row>
    <row r="120" spans="8:19" ht="31.5">
      <c r="H120" s="2" t="s">
        <v>526</v>
      </c>
      <c r="I120" s="263"/>
      <c r="J120" s="11">
        <v>1</v>
      </c>
      <c r="K120" s="11">
        <v>13</v>
      </c>
      <c r="L120" s="57" t="s">
        <v>215</v>
      </c>
      <c r="M120" s="58" t="s">
        <v>220</v>
      </c>
      <c r="N120" s="58" t="s">
        <v>229</v>
      </c>
      <c r="O120" s="58" t="s">
        <v>261</v>
      </c>
      <c r="P120" s="7"/>
      <c r="Q120" s="124">
        <f>Q121</f>
        <v>886</v>
      </c>
      <c r="R120" s="124">
        <f aca="true" t="shared" si="7" ref="R120:S123">R121</f>
        <v>500</v>
      </c>
      <c r="S120" s="124">
        <f t="shared" si="7"/>
        <v>500</v>
      </c>
    </row>
    <row r="121" spans="8:19" ht="18.75">
      <c r="H121" s="2" t="s">
        <v>527</v>
      </c>
      <c r="I121" s="263"/>
      <c r="J121" s="11">
        <v>1</v>
      </c>
      <c r="K121" s="11">
        <v>13</v>
      </c>
      <c r="L121" s="57" t="s">
        <v>215</v>
      </c>
      <c r="M121" s="58" t="s">
        <v>217</v>
      </c>
      <c r="N121" s="58" t="s">
        <v>229</v>
      </c>
      <c r="O121" s="58" t="s">
        <v>261</v>
      </c>
      <c r="P121" s="7"/>
      <c r="Q121" s="124">
        <f>Q122</f>
        <v>886</v>
      </c>
      <c r="R121" s="124">
        <f t="shared" si="7"/>
        <v>500</v>
      </c>
      <c r="S121" s="124">
        <f t="shared" si="7"/>
        <v>500</v>
      </c>
    </row>
    <row r="122" spans="8:19" ht="31.5">
      <c r="H122" s="2" t="s">
        <v>528</v>
      </c>
      <c r="I122" s="263"/>
      <c r="J122" s="11">
        <v>1</v>
      </c>
      <c r="K122" s="11">
        <v>13</v>
      </c>
      <c r="L122" s="57" t="s">
        <v>215</v>
      </c>
      <c r="M122" s="58" t="s">
        <v>217</v>
      </c>
      <c r="N122" s="58" t="s">
        <v>232</v>
      </c>
      <c r="O122" s="58" t="s">
        <v>261</v>
      </c>
      <c r="P122" s="7"/>
      <c r="Q122" s="124">
        <f>Q123</f>
        <v>886</v>
      </c>
      <c r="R122" s="124">
        <f t="shared" si="7"/>
        <v>500</v>
      </c>
      <c r="S122" s="124">
        <f t="shared" si="7"/>
        <v>500</v>
      </c>
    </row>
    <row r="123" spans="8:19" ht="18.75">
      <c r="H123" s="2" t="s">
        <v>31</v>
      </c>
      <c r="I123" s="263"/>
      <c r="J123" s="11">
        <v>1</v>
      </c>
      <c r="K123" s="11">
        <v>13</v>
      </c>
      <c r="L123" s="57" t="s">
        <v>215</v>
      </c>
      <c r="M123" s="58" t="s">
        <v>217</v>
      </c>
      <c r="N123" s="58" t="s">
        <v>232</v>
      </c>
      <c r="O123" s="58" t="s">
        <v>398</v>
      </c>
      <c r="P123" s="7"/>
      <c r="Q123" s="124">
        <f>Q124</f>
        <v>886</v>
      </c>
      <c r="R123" s="124">
        <f t="shared" si="7"/>
        <v>500</v>
      </c>
      <c r="S123" s="124">
        <f t="shared" si="7"/>
        <v>500</v>
      </c>
    </row>
    <row r="124" spans="8:19" ht="18.75">
      <c r="H124" s="2" t="s">
        <v>299</v>
      </c>
      <c r="I124" s="263"/>
      <c r="J124" s="11">
        <v>1</v>
      </c>
      <c r="K124" s="11">
        <v>13</v>
      </c>
      <c r="L124" s="57" t="s">
        <v>215</v>
      </c>
      <c r="M124" s="58" t="s">
        <v>217</v>
      </c>
      <c r="N124" s="58" t="s">
        <v>232</v>
      </c>
      <c r="O124" s="58" t="s">
        <v>398</v>
      </c>
      <c r="P124" s="7">
        <v>240</v>
      </c>
      <c r="Q124" s="124">
        <f>'приложение 5'!Q78</f>
        <v>886</v>
      </c>
      <c r="R124" s="124">
        <f>'приложение 5'!R78</f>
        <v>500</v>
      </c>
      <c r="S124" s="124">
        <f>'приложение 5'!S78</f>
        <v>500</v>
      </c>
    </row>
    <row r="125" spans="8:19" ht="31.5">
      <c r="H125" s="2" t="s">
        <v>580</v>
      </c>
      <c r="I125" s="263"/>
      <c r="J125" s="11">
        <v>1</v>
      </c>
      <c r="K125" s="11">
        <v>13</v>
      </c>
      <c r="L125" s="57" t="s">
        <v>513</v>
      </c>
      <c r="M125" s="58" t="s">
        <v>220</v>
      </c>
      <c r="N125" s="58" t="s">
        <v>229</v>
      </c>
      <c r="O125" s="58" t="s">
        <v>261</v>
      </c>
      <c r="P125" s="3"/>
      <c r="Q125" s="126">
        <f>Q126+Q129+Q132+Q136+Q144</f>
        <v>6690.200000000001</v>
      </c>
      <c r="R125" s="126">
        <f>R126+R129+R132+R136+R144</f>
        <v>6663.6</v>
      </c>
      <c r="S125" s="126">
        <f>S126+S129+S132+S136+S144</f>
        <v>6633.1</v>
      </c>
    </row>
    <row r="126" spans="8:19" ht="18.75">
      <c r="H126" s="2" t="s">
        <v>417</v>
      </c>
      <c r="I126" s="263"/>
      <c r="J126" s="11">
        <v>1</v>
      </c>
      <c r="K126" s="11">
        <v>13</v>
      </c>
      <c r="L126" s="57" t="s">
        <v>513</v>
      </c>
      <c r="M126" s="58" t="s">
        <v>220</v>
      </c>
      <c r="N126" s="58" t="s">
        <v>221</v>
      </c>
      <c r="O126" s="58" t="s">
        <v>261</v>
      </c>
      <c r="P126" s="3"/>
      <c r="Q126" s="126">
        <f aca="true" t="shared" si="8" ref="Q126:S127">Q127</f>
        <v>646.5</v>
      </c>
      <c r="R126" s="126">
        <f t="shared" si="8"/>
        <v>426.5</v>
      </c>
      <c r="S126" s="126">
        <f t="shared" si="8"/>
        <v>426.5</v>
      </c>
    </row>
    <row r="127" spans="8:19" ht="18.75">
      <c r="H127" s="2" t="s">
        <v>74</v>
      </c>
      <c r="I127" s="263"/>
      <c r="J127" s="11">
        <v>1</v>
      </c>
      <c r="K127" s="11">
        <v>13</v>
      </c>
      <c r="L127" s="57" t="s">
        <v>513</v>
      </c>
      <c r="M127" s="58" t="s">
        <v>220</v>
      </c>
      <c r="N127" s="58" t="s">
        <v>221</v>
      </c>
      <c r="O127" s="58" t="s">
        <v>46</v>
      </c>
      <c r="P127" s="3"/>
      <c r="Q127" s="126">
        <f t="shared" si="8"/>
        <v>646.5</v>
      </c>
      <c r="R127" s="126">
        <f t="shared" si="8"/>
        <v>426.5</v>
      </c>
      <c r="S127" s="126">
        <f t="shared" si="8"/>
        <v>426.5</v>
      </c>
    </row>
    <row r="128" spans="8:19" ht="18.75">
      <c r="H128" s="2" t="s">
        <v>299</v>
      </c>
      <c r="I128" s="263"/>
      <c r="J128" s="11">
        <v>1</v>
      </c>
      <c r="K128" s="11">
        <v>13</v>
      </c>
      <c r="L128" s="57" t="s">
        <v>513</v>
      </c>
      <c r="M128" s="58" t="s">
        <v>220</v>
      </c>
      <c r="N128" s="58" t="s">
        <v>221</v>
      </c>
      <c r="O128" s="58" t="s">
        <v>46</v>
      </c>
      <c r="P128" s="3">
        <v>240</v>
      </c>
      <c r="Q128" s="126">
        <f>'приложение 5'!Q695</f>
        <v>646.5</v>
      </c>
      <c r="R128" s="126">
        <f>'приложение 5'!R695</f>
        <v>426.5</v>
      </c>
      <c r="S128" s="126">
        <f>'приложение 5'!S695</f>
        <v>426.5</v>
      </c>
    </row>
    <row r="129" spans="8:19" ht="31.5">
      <c r="H129" s="2" t="s">
        <v>418</v>
      </c>
      <c r="I129" s="263"/>
      <c r="J129" s="11">
        <v>1</v>
      </c>
      <c r="K129" s="11">
        <v>13</v>
      </c>
      <c r="L129" s="57" t="s">
        <v>513</v>
      </c>
      <c r="M129" s="58" t="s">
        <v>220</v>
      </c>
      <c r="N129" s="58" t="s">
        <v>236</v>
      </c>
      <c r="O129" s="58" t="s">
        <v>261</v>
      </c>
      <c r="P129" s="3"/>
      <c r="Q129" s="126">
        <f aca="true" t="shared" si="9" ref="Q129:S130">Q130</f>
        <v>56</v>
      </c>
      <c r="R129" s="126">
        <f t="shared" si="9"/>
        <v>80</v>
      </c>
      <c r="S129" s="126">
        <f t="shared" si="9"/>
        <v>80</v>
      </c>
    </row>
    <row r="130" spans="8:19" ht="31.5">
      <c r="H130" s="2" t="s">
        <v>419</v>
      </c>
      <c r="I130" s="263"/>
      <c r="J130" s="11">
        <v>1</v>
      </c>
      <c r="K130" s="11">
        <v>13</v>
      </c>
      <c r="L130" s="57" t="s">
        <v>513</v>
      </c>
      <c r="M130" s="58" t="s">
        <v>220</v>
      </c>
      <c r="N130" s="58" t="s">
        <v>236</v>
      </c>
      <c r="O130" s="58" t="s">
        <v>45</v>
      </c>
      <c r="P130" s="3"/>
      <c r="Q130" s="126">
        <f t="shared" si="9"/>
        <v>56</v>
      </c>
      <c r="R130" s="126">
        <f t="shared" si="9"/>
        <v>80</v>
      </c>
      <c r="S130" s="126">
        <f t="shared" si="9"/>
        <v>80</v>
      </c>
    </row>
    <row r="131" spans="8:19" ht="18.75">
      <c r="H131" s="2" t="s">
        <v>299</v>
      </c>
      <c r="I131" s="263"/>
      <c r="J131" s="11">
        <v>1</v>
      </c>
      <c r="K131" s="11">
        <v>13</v>
      </c>
      <c r="L131" s="57" t="s">
        <v>513</v>
      </c>
      <c r="M131" s="58" t="s">
        <v>220</v>
      </c>
      <c r="N131" s="58" t="s">
        <v>236</v>
      </c>
      <c r="O131" s="58" t="s">
        <v>45</v>
      </c>
      <c r="P131" s="3">
        <v>240</v>
      </c>
      <c r="Q131" s="126">
        <f>'приложение 5'!Q698</f>
        <v>56</v>
      </c>
      <c r="R131" s="126">
        <f>'приложение 5'!R698</f>
        <v>80</v>
      </c>
      <c r="S131" s="126">
        <f>'приложение 5'!S698</f>
        <v>80</v>
      </c>
    </row>
    <row r="132" spans="8:19" ht="31.5" hidden="1">
      <c r="H132" s="2" t="s">
        <v>420</v>
      </c>
      <c r="I132" s="263"/>
      <c r="J132" s="11">
        <v>1</v>
      </c>
      <c r="K132" s="11">
        <v>13</v>
      </c>
      <c r="L132" s="57" t="s">
        <v>513</v>
      </c>
      <c r="M132" s="58" t="s">
        <v>220</v>
      </c>
      <c r="N132" s="58" t="s">
        <v>237</v>
      </c>
      <c r="O132" s="58" t="s">
        <v>261</v>
      </c>
      <c r="P132" s="3"/>
      <c r="Q132" s="126">
        <f>Q133</f>
        <v>0</v>
      </c>
      <c r="R132" s="126">
        <f>R133</f>
        <v>0</v>
      </c>
      <c r="S132" s="126">
        <f>S133</f>
        <v>0</v>
      </c>
    </row>
    <row r="133" spans="8:19" ht="18.75" hidden="1">
      <c r="H133" s="108" t="s">
        <v>20</v>
      </c>
      <c r="I133" s="339"/>
      <c r="J133" s="11">
        <v>1</v>
      </c>
      <c r="K133" s="11">
        <v>13</v>
      </c>
      <c r="L133" s="11">
        <v>15</v>
      </c>
      <c r="M133" s="58" t="s">
        <v>220</v>
      </c>
      <c r="N133" s="58" t="s">
        <v>237</v>
      </c>
      <c r="O133" s="58" t="s">
        <v>19</v>
      </c>
      <c r="P133" s="3"/>
      <c r="Q133" s="126">
        <f>Q134+Q135</f>
        <v>0</v>
      </c>
      <c r="R133" s="126">
        <f>R134+R135</f>
        <v>0</v>
      </c>
      <c r="S133" s="126">
        <f>S134+S135</f>
        <v>0</v>
      </c>
    </row>
    <row r="134" spans="8:19" ht="18.75" hidden="1">
      <c r="H134" s="2" t="s">
        <v>299</v>
      </c>
      <c r="I134" s="263"/>
      <c r="J134" s="11">
        <v>1</v>
      </c>
      <c r="K134" s="11">
        <v>13</v>
      </c>
      <c r="L134" s="11">
        <v>15</v>
      </c>
      <c r="M134" s="58" t="s">
        <v>220</v>
      </c>
      <c r="N134" s="58" t="s">
        <v>237</v>
      </c>
      <c r="O134" s="58" t="s">
        <v>19</v>
      </c>
      <c r="P134" s="3">
        <v>240</v>
      </c>
      <c r="Q134" s="126">
        <f>'приложение 5'!Q701</f>
        <v>0</v>
      </c>
      <c r="R134" s="126">
        <f>'приложение 5'!R701</f>
        <v>0</v>
      </c>
      <c r="S134" s="126">
        <f>'приложение 5'!S701</f>
        <v>0</v>
      </c>
    </row>
    <row r="135" spans="8:19" ht="18.75" hidden="1">
      <c r="H135" s="2" t="s">
        <v>300</v>
      </c>
      <c r="I135" s="263"/>
      <c r="J135" s="11">
        <v>1</v>
      </c>
      <c r="K135" s="11">
        <v>13</v>
      </c>
      <c r="L135" s="11">
        <v>15</v>
      </c>
      <c r="M135" s="58" t="s">
        <v>220</v>
      </c>
      <c r="N135" s="58" t="s">
        <v>237</v>
      </c>
      <c r="O135" s="58" t="s">
        <v>19</v>
      </c>
      <c r="P135" s="3">
        <v>850</v>
      </c>
      <c r="Q135" s="126">
        <f>'приложение 5'!Q702</f>
        <v>0</v>
      </c>
      <c r="R135" s="126">
        <f>'приложение 5'!R702</f>
        <v>0</v>
      </c>
      <c r="S135" s="126">
        <f>'приложение 5'!S702</f>
        <v>0</v>
      </c>
    </row>
    <row r="136" spans="8:19" ht="18.75">
      <c r="H136" s="2" t="s">
        <v>421</v>
      </c>
      <c r="I136" s="263"/>
      <c r="J136" s="11">
        <v>1</v>
      </c>
      <c r="K136" s="11">
        <v>13</v>
      </c>
      <c r="L136" s="11">
        <v>15</v>
      </c>
      <c r="M136" s="58" t="s">
        <v>220</v>
      </c>
      <c r="N136" s="58" t="s">
        <v>232</v>
      </c>
      <c r="O136" s="58" t="s">
        <v>261</v>
      </c>
      <c r="P136" s="3"/>
      <c r="Q136" s="126">
        <f>Q137+Q142</f>
        <v>5960.6</v>
      </c>
      <c r="R136" s="126">
        <f>R137+R142</f>
        <v>6098.5</v>
      </c>
      <c r="S136" s="126">
        <f>S137+S142</f>
        <v>6068</v>
      </c>
    </row>
    <row r="137" spans="8:19" ht="18.75">
      <c r="H137" s="2" t="s">
        <v>60</v>
      </c>
      <c r="I137" s="263"/>
      <c r="J137" s="4">
        <v>1</v>
      </c>
      <c r="K137" s="11">
        <v>13</v>
      </c>
      <c r="L137" s="11">
        <v>15</v>
      </c>
      <c r="M137" s="58" t="s">
        <v>220</v>
      </c>
      <c r="N137" s="58" t="s">
        <v>232</v>
      </c>
      <c r="O137" s="58" t="s">
        <v>264</v>
      </c>
      <c r="P137" s="3"/>
      <c r="Q137" s="126">
        <f>Q138+Q139+Q140+Q141</f>
        <v>3564.8</v>
      </c>
      <c r="R137" s="126">
        <f>R138+R139+R140+R141</f>
        <v>3702.7</v>
      </c>
      <c r="S137" s="126">
        <f>S138+S139+S140+S141</f>
        <v>3672.2</v>
      </c>
    </row>
    <row r="138" spans="8:19" ht="18.75">
      <c r="H138" s="2" t="s">
        <v>204</v>
      </c>
      <c r="I138" s="263"/>
      <c r="J138" s="4">
        <v>1</v>
      </c>
      <c r="K138" s="11">
        <v>13</v>
      </c>
      <c r="L138" s="11">
        <v>15</v>
      </c>
      <c r="M138" s="58" t="s">
        <v>220</v>
      </c>
      <c r="N138" s="58" t="s">
        <v>232</v>
      </c>
      <c r="O138" s="58" t="s">
        <v>264</v>
      </c>
      <c r="P138" s="3">
        <v>120</v>
      </c>
      <c r="Q138" s="126">
        <f>'приложение 5'!Q705</f>
        <v>3372.8</v>
      </c>
      <c r="R138" s="126">
        <f>'приложение 5'!R705</f>
        <v>3548.7</v>
      </c>
      <c r="S138" s="126">
        <f>'приложение 5'!S705</f>
        <v>3548.7</v>
      </c>
    </row>
    <row r="139" spans="8:19" ht="18.75">
      <c r="H139" s="2" t="s">
        <v>299</v>
      </c>
      <c r="I139" s="265"/>
      <c r="J139" s="4">
        <v>1</v>
      </c>
      <c r="K139" s="11">
        <v>13</v>
      </c>
      <c r="L139" s="11">
        <v>15</v>
      </c>
      <c r="M139" s="58" t="s">
        <v>220</v>
      </c>
      <c r="N139" s="58" t="s">
        <v>232</v>
      </c>
      <c r="O139" s="58" t="s">
        <v>264</v>
      </c>
      <c r="P139" s="3">
        <v>240</v>
      </c>
      <c r="Q139" s="126">
        <f>'приложение 5'!Q706</f>
        <v>191.9</v>
      </c>
      <c r="R139" s="126">
        <f>'приложение 5'!R706</f>
        <v>154</v>
      </c>
      <c r="S139" s="126">
        <f>'приложение 5'!S706</f>
        <v>123.5</v>
      </c>
    </row>
    <row r="140" spans="8:19" ht="18.75" hidden="1">
      <c r="H140" s="2" t="s">
        <v>306</v>
      </c>
      <c r="I140" s="265"/>
      <c r="J140" s="4">
        <v>1</v>
      </c>
      <c r="K140" s="11">
        <v>13</v>
      </c>
      <c r="L140" s="11">
        <v>15</v>
      </c>
      <c r="M140" s="58" t="s">
        <v>220</v>
      </c>
      <c r="N140" s="58" t="s">
        <v>232</v>
      </c>
      <c r="O140" s="58" t="s">
        <v>264</v>
      </c>
      <c r="P140" s="3">
        <v>830</v>
      </c>
      <c r="Q140" s="126">
        <f>'приложение 5'!Q707</f>
        <v>0</v>
      </c>
      <c r="R140" s="126">
        <f>'приложение 5'!R707</f>
        <v>0</v>
      </c>
      <c r="S140" s="126">
        <f>'приложение 5'!S707</f>
        <v>0</v>
      </c>
    </row>
    <row r="141" spans="8:19" ht="18.75">
      <c r="H141" s="2" t="s">
        <v>300</v>
      </c>
      <c r="I141" s="263"/>
      <c r="J141" s="4">
        <v>1</v>
      </c>
      <c r="K141" s="11">
        <v>13</v>
      </c>
      <c r="L141" s="11">
        <v>15</v>
      </c>
      <c r="M141" s="58" t="s">
        <v>220</v>
      </c>
      <c r="N141" s="58" t="s">
        <v>232</v>
      </c>
      <c r="O141" s="58" t="s">
        <v>264</v>
      </c>
      <c r="P141" s="3">
        <v>850</v>
      </c>
      <c r="Q141" s="126">
        <f>'приложение 5'!Q708</f>
        <v>0.1</v>
      </c>
      <c r="R141" s="126">
        <f>'приложение 5'!R708</f>
        <v>0</v>
      </c>
      <c r="S141" s="126">
        <f>'приложение 5'!S708</f>
        <v>0</v>
      </c>
    </row>
    <row r="142" spans="8:19" ht="31.5">
      <c r="H142" s="2" t="s">
        <v>374</v>
      </c>
      <c r="I142" s="263"/>
      <c r="J142" s="4">
        <v>1</v>
      </c>
      <c r="K142" s="11">
        <v>13</v>
      </c>
      <c r="L142" s="11">
        <v>15</v>
      </c>
      <c r="M142" s="58" t="s">
        <v>220</v>
      </c>
      <c r="N142" s="58" t="s">
        <v>232</v>
      </c>
      <c r="O142" s="58" t="s">
        <v>373</v>
      </c>
      <c r="P142" s="3"/>
      <c r="Q142" s="126">
        <f>Q143</f>
        <v>2395.8</v>
      </c>
      <c r="R142" s="126">
        <f>R143</f>
        <v>2395.8</v>
      </c>
      <c r="S142" s="126">
        <f>S143</f>
        <v>2395.8</v>
      </c>
    </row>
    <row r="143" spans="8:19" ht="18.75">
      <c r="H143" s="2" t="s">
        <v>204</v>
      </c>
      <c r="I143" s="263"/>
      <c r="J143" s="4">
        <v>1</v>
      </c>
      <c r="K143" s="11">
        <v>13</v>
      </c>
      <c r="L143" s="11">
        <v>15</v>
      </c>
      <c r="M143" s="58" t="s">
        <v>220</v>
      </c>
      <c r="N143" s="58" t="s">
        <v>232</v>
      </c>
      <c r="O143" s="58" t="s">
        <v>373</v>
      </c>
      <c r="P143" s="3">
        <v>120</v>
      </c>
      <c r="Q143" s="126">
        <f>'приложение 5'!Q710</f>
        <v>2395.8</v>
      </c>
      <c r="R143" s="126">
        <f>'приложение 5'!R710</f>
        <v>2395.8</v>
      </c>
      <c r="S143" s="126">
        <f>'приложение 5'!S710</f>
        <v>2395.8</v>
      </c>
    </row>
    <row r="144" spans="8:19" ht="47.25">
      <c r="H144" s="2" t="s">
        <v>415</v>
      </c>
      <c r="I144" s="263"/>
      <c r="J144" s="4">
        <v>1</v>
      </c>
      <c r="K144" s="11">
        <v>13</v>
      </c>
      <c r="L144" s="11">
        <v>15</v>
      </c>
      <c r="M144" s="58" t="s">
        <v>220</v>
      </c>
      <c r="N144" s="58" t="s">
        <v>414</v>
      </c>
      <c r="O144" s="58" t="s">
        <v>261</v>
      </c>
      <c r="P144" s="3"/>
      <c r="Q144" s="126">
        <f aca="true" t="shared" si="10" ref="Q144:S145">Q145</f>
        <v>27.1</v>
      </c>
      <c r="R144" s="126">
        <f t="shared" si="10"/>
        <v>58.6</v>
      </c>
      <c r="S144" s="126">
        <f t="shared" si="10"/>
        <v>58.6</v>
      </c>
    </row>
    <row r="145" spans="8:19" ht="63">
      <c r="H145" s="2" t="s">
        <v>32</v>
      </c>
      <c r="I145" s="263"/>
      <c r="J145" s="4">
        <v>1</v>
      </c>
      <c r="K145" s="11">
        <v>13</v>
      </c>
      <c r="L145" s="11">
        <v>15</v>
      </c>
      <c r="M145" s="58" t="s">
        <v>220</v>
      </c>
      <c r="N145" s="58" t="s">
        <v>414</v>
      </c>
      <c r="O145" s="58" t="s">
        <v>331</v>
      </c>
      <c r="P145" s="3"/>
      <c r="Q145" s="126">
        <f t="shared" si="10"/>
        <v>27.1</v>
      </c>
      <c r="R145" s="126">
        <f t="shared" si="10"/>
        <v>58.6</v>
      </c>
      <c r="S145" s="126">
        <f t="shared" si="10"/>
        <v>58.6</v>
      </c>
    </row>
    <row r="146" spans="8:19" ht="18.75">
      <c r="H146" s="2" t="s">
        <v>299</v>
      </c>
      <c r="I146" s="265"/>
      <c r="J146" s="15">
        <v>1</v>
      </c>
      <c r="K146" s="11">
        <v>13</v>
      </c>
      <c r="L146" s="11">
        <v>15</v>
      </c>
      <c r="M146" s="58" t="s">
        <v>220</v>
      </c>
      <c r="N146" s="58" t="s">
        <v>414</v>
      </c>
      <c r="O146" s="58" t="s">
        <v>331</v>
      </c>
      <c r="P146" s="3">
        <v>240</v>
      </c>
      <c r="Q146" s="126">
        <f>'приложение 5'!Q713</f>
        <v>27.1</v>
      </c>
      <c r="R146" s="126">
        <f>'приложение 5'!R713</f>
        <v>58.6</v>
      </c>
      <c r="S146" s="126">
        <f>'приложение 5'!S713</f>
        <v>58.6</v>
      </c>
    </row>
    <row r="147" spans="8:19" ht="31.5">
      <c r="H147" s="2" t="s">
        <v>522</v>
      </c>
      <c r="I147" s="263"/>
      <c r="J147" s="11">
        <v>1</v>
      </c>
      <c r="K147" s="11">
        <v>13</v>
      </c>
      <c r="L147" s="57" t="s">
        <v>494</v>
      </c>
      <c r="M147" s="58" t="s">
        <v>220</v>
      </c>
      <c r="N147" s="58" t="s">
        <v>229</v>
      </c>
      <c r="O147" s="58" t="s">
        <v>261</v>
      </c>
      <c r="P147" s="7"/>
      <c r="Q147" s="124">
        <f>Q148+Q171+Q178+Q155+Q161+Q168</f>
        <v>59166.2</v>
      </c>
      <c r="R147" s="124">
        <f>R148+R171+R178+R155+R161+R168</f>
        <v>45196.50000000001</v>
      </c>
      <c r="S147" s="124">
        <f>S148+S171+S178+S155+S161+S168</f>
        <v>46143.50000000001</v>
      </c>
    </row>
    <row r="148" spans="8:19" ht="31.5">
      <c r="H148" s="2" t="s">
        <v>523</v>
      </c>
      <c r="I148" s="263"/>
      <c r="J148" s="11">
        <v>1</v>
      </c>
      <c r="K148" s="11">
        <v>13</v>
      </c>
      <c r="L148" s="57" t="s">
        <v>494</v>
      </c>
      <c r="M148" s="58" t="s">
        <v>220</v>
      </c>
      <c r="N148" s="58" t="s">
        <v>221</v>
      </c>
      <c r="O148" s="58" t="s">
        <v>261</v>
      </c>
      <c r="P148" s="7"/>
      <c r="Q148" s="124">
        <f>Q149+Q153</f>
        <v>3302.9</v>
      </c>
      <c r="R148" s="124">
        <f>R149+R153</f>
        <v>658</v>
      </c>
      <c r="S148" s="124">
        <f>S149+S153</f>
        <v>595</v>
      </c>
    </row>
    <row r="149" spans="8:19" ht="18.75">
      <c r="H149" s="2" t="s">
        <v>323</v>
      </c>
      <c r="I149" s="263"/>
      <c r="J149" s="11">
        <v>1</v>
      </c>
      <c r="K149" s="11">
        <v>13</v>
      </c>
      <c r="L149" s="57" t="s">
        <v>494</v>
      </c>
      <c r="M149" s="58" t="s">
        <v>220</v>
      </c>
      <c r="N149" s="58" t="s">
        <v>221</v>
      </c>
      <c r="O149" s="58" t="s">
        <v>264</v>
      </c>
      <c r="P149" s="7"/>
      <c r="Q149" s="124">
        <f>Q150+Q151+Q152</f>
        <v>3302.9</v>
      </c>
      <c r="R149" s="124">
        <f>R150+R151+R152</f>
        <v>658</v>
      </c>
      <c r="S149" s="124">
        <f>S150+S151+S152</f>
        <v>595</v>
      </c>
    </row>
    <row r="150" spans="8:19" ht="18.75">
      <c r="H150" s="2" t="s">
        <v>299</v>
      </c>
      <c r="I150" s="263"/>
      <c r="J150" s="11">
        <v>1</v>
      </c>
      <c r="K150" s="11">
        <v>13</v>
      </c>
      <c r="L150" s="57" t="s">
        <v>494</v>
      </c>
      <c r="M150" s="58" t="s">
        <v>220</v>
      </c>
      <c r="N150" s="58" t="s">
        <v>221</v>
      </c>
      <c r="O150" s="58" t="s">
        <v>264</v>
      </c>
      <c r="P150" s="7">
        <v>240</v>
      </c>
      <c r="Q150" s="124">
        <f>'приложение 5'!Q82</f>
        <v>752</v>
      </c>
      <c r="R150" s="124">
        <f>'приложение 5'!R82</f>
        <v>508</v>
      </c>
      <c r="S150" s="124">
        <f>'приложение 5'!S82</f>
        <v>445</v>
      </c>
    </row>
    <row r="151" spans="8:19" ht="18.75">
      <c r="H151" s="2" t="s">
        <v>306</v>
      </c>
      <c r="I151" s="263"/>
      <c r="J151" s="11">
        <v>1</v>
      </c>
      <c r="K151" s="11">
        <v>13</v>
      </c>
      <c r="L151" s="57" t="s">
        <v>494</v>
      </c>
      <c r="M151" s="58" t="s">
        <v>220</v>
      </c>
      <c r="N151" s="58" t="s">
        <v>221</v>
      </c>
      <c r="O151" s="58" t="s">
        <v>264</v>
      </c>
      <c r="P151" s="7">
        <v>830</v>
      </c>
      <c r="Q151" s="124">
        <f>'приложение 5'!Q83</f>
        <v>363.9</v>
      </c>
      <c r="R151" s="124">
        <f>'приложение 5'!R83</f>
        <v>0</v>
      </c>
      <c r="S151" s="124">
        <f>'приложение 5'!S83</f>
        <v>0</v>
      </c>
    </row>
    <row r="152" spans="8:19" ht="18.75">
      <c r="H152" s="2" t="s">
        <v>300</v>
      </c>
      <c r="I152" s="263"/>
      <c r="J152" s="11">
        <v>1</v>
      </c>
      <c r="K152" s="11">
        <v>13</v>
      </c>
      <c r="L152" s="57" t="s">
        <v>494</v>
      </c>
      <c r="M152" s="58" t="s">
        <v>220</v>
      </c>
      <c r="N152" s="58" t="s">
        <v>221</v>
      </c>
      <c r="O152" s="58" t="s">
        <v>264</v>
      </c>
      <c r="P152" s="7">
        <v>850</v>
      </c>
      <c r="Q152" s="124">
        <f>'приложение 5'!Q84</f>
        <v>2187</v>
      </c>
      <c r="R152" s="124">
        <f>'приложение 5'!R84</f>
        <v>150</v>
      </c>
      <c r="S152" s="124">
        <f>'приложение 5'!S84</f>
        <v>150</v>
      </c>
    </row>
    <row r="153" spans="8:19" ht="18.75" hidden="1">
      <c r="H153" s="303" t="s">
        <v>462</v>
      </c>
      <c r="I153" s="263"/>
      <c r="J153" s="11">
        <v>1</v>
      </c>
      <c r="K153" s="11">
        <v>13</v>
      </c>
      <c r="L153" s="57" t="s">
        <v>494</v>
      </c>
      <c r="M153" s="58" t="s">
        <v>220</v>
      </c>
      <c r="N153" s="58" t="s">
        <v>221</v>
      </c>
      <c r="O153" s="58" t="s">
        <v>926</v>
      </c>
      <c r="P153" s="7"/>
      <c r="Q153" s="124">
        <f>Q154</f>
        <v>0</v>
      </c>
      <c r="R153" s="124">
        <f>R154</f>
        <v>0</v>
      </c>
      <c r="S153" s="124">
        <f>S154</f>
        <v>0</v>
      </c>
    </row>
    <row r="154" spans="8:19" ht="18.75" hidden="1">
      <c r="H154" s="2" t="s">
        <v>299</v>
      </c>
      <c r="I154" s="263"/>
      <c r="J154" s="11">
        <v>1</v>
      </c>
      <c r="K154" s="11">
        <v>13</v>
      </c>
      <c r="L154" s="57" t="s">
        <v>494</v>
      </c>
      <c r="M154" s="58" t="s">
        <v>220</v>
      </c>
      <c r="N154" s="58" t="s">
        <v>221</v>
      </c>
      <c r="O154" s="58" t="s">
        <v>926</v>
      </c>
      <c r="P154" s="7">
        <v>240</v>
      </c>
      <c r="Q154" s="124">
        <f>'приложение 5'!Q86</f>
        <v>0</v>
      </c>
      <c r="R154" s="124">
        <f>'приложение 5'!R86</f>
        <v>0</v>
      </c>
      <c r="S154" s="124">
        <f>'приложение 5'!S86</f>
        <v>0</v>
      </c>
    </row>
    <row r="155" spans="8:19" ht="18.75">
      <c r="H155" s="2" t="s">
        <v>559</v>
      </c>
      <c r="I155" s="263"/>
      <c r="J155" s="11">
        <v>1</v>
      </c>
      <c r="K155" s="11">
        <v>13</v>
      </c>
      <c r="L155" s="57" t="s">
        <v>494</v>
      </c>
      <c r="M155" s="58" t="s">
        <v>220</v>
      </c>
      <c r="N155" s="58" t="s">
        <v>236</v>
      </c>
      <c r="O155" s="58" t="s">
        <v>261</v>
      </c>
      <c r="P155" s="7"/>
      <c r="Q155" s="124">
        <f>Q156+Q159</f>
        <v>1465</v>
      </c>
      <c r="R155" s="124">
        <f>R156+R159</f>
        <v>0</v>
      </c>
      <c r="S155" s="124">
        <f>S156+S159</f>
        <v>0</v>
      </c>
    </row>
    <row r="156" spans="8:19" ht="18.75">
      <c r="H156" s="2" t="s">
        <v>60</v>
      </c>
      <c r="I156" s="263"/>
      <c r="J156" s="11">
        <v>1</v>
      </c>
      <c r="K156" s="11">
        <v>13</v>
      </c>
      <c r="L156" s="57" t="s">
        <v>494</v>
      </c>
      <c r="M156" s="58" t="s">
        <v>220</v>
      </c>
      <c r="N156" s="58" t="s">
        <v>236</v>
      </c>
      <c r="O156" s="58" t="s">
        <v>264</v>
      </c>
      <c r="P156" s="7"/>
      <c r="Q156" s="124">
        <f>Q157+Q158</f>
        <v>115</v>
      </c>
      <c r="R156" s="126">
        <v>0</v>
      </c>
      <c r="S156" s="126">
        <v>0</v>
      </c>
    </row>
    <row r="157" spans="8:19" ht="18.75">
      <c r="H157" s="2" t="s">
        <v>299</v>
      </c>
      <c r="I157" s="263"/>
      <c r="J157" s="11">
        <v>1</v>
      </c>
      <c r="K157" s="11">
        <v>13</v>
      </c>
      <c r="L157" s="57" t="s">
        <v>494</v>
      </c>
      <c r="M157" s="58" t="s">
        <v>220</v>
      </c>
      <c r="N157" s="58" t="s">
        <v>236</v>
      </c>
      <c r="O157" s="58" t="s">
        <v>264</v>
      </c>
      <c r="P157" s="7">
        <v>240</v>
      </c>
      <c r="Q157" s="124">
        <f>'приложение 5'!Q510</f>
        <v>100</v>
      </c>
      <c r="R157" s="124">
        <f>'приложение 5'!R510</f>
        <v>0</v>
      </c>
      <c r="S157" s="124">
        <f>'приложение 5'!S510</f>
        <v>0</v>
      </c>
    </row>
    <row r="158" spans="8:19" ht="18.75">
      <c r="H158" s="2" t="s">
        <v>300</v>
      </c>
      <c r="I158" s="263"/>
      <c r="J158" s="11">
        <v>1</v>
      </c>
      <c r="K158" s="11">
        <v>13</v>
      </c>
      <c r="L158" s="57" t="s">
        <v>494</v>
      </c>
      <c r="M158" s="58" t="s">
        <v>220</v>
      </c>
      <c r="N158" s="58" t="s">
        <v>236</v>
      </c>
      <c r="O158" s="58" t="s">
        <v>264</v>
      </c>
      <c r="P158" s="7">
        <v>850</v>
      </c>
      <c r="Q158" s="124">
        <f>'приложение 5'!Q511</f>
        <v>15</v>
      </c>
      <c r="R158" s="124">
        <f>'приложение 5'!R511</f>
        <v>0</v>
      </c>
      <c r="S158" s="124">
        <f>'приложение 5'!S511</f>
        <v>0</v>
      </c>
    </row>
    <row r="159" spans="8:19" ht="18.75" hidden="1">
      <c r="H159" s="303" t="s">
        <v>462</v>
      </c>
      <c r="I159" s="263"/>
      <c r="J159" s="11">
        <v>1</v>
      </c>
      <c r="K159" s="11">
        <v>13</v>
      </c>
      <c r="L159" s="57" t="s">
        <v>494</v>
      </c>
      <c r="M159" s="58" t="s">
        <v>220</v>
      </c>
      <c r="N159" s="58" t="s">
        <v>236</v>
      </c>
      <c r="O159" s="58" t="s">
        <v>926</v>
      </c>
      <c r="P159" s="7"/>
      <c r="Q159" s="124">
        <f>Q160</f>
        <v>1350</v>
      </c>
      <c r="R159" s="124">
        <f>R160</f>
        <v>0</v>
      </c>
      <c r="S159" s="124">
        <f>S160</f>
        <v>0</v>
      </c>
    </row>
    <row r="160" spans="8:19" ht="18.75" hidden="1">
      <c r="H160" s="2" t="s">
        <v>299</v>
      </c>
      <c r="I160" s="263"/>
      <c r="J160" s="11">
        <v>1</v>
      </c>
      <c r="K160" s="11">
        <v>13</v>
      </c>
      <c r="L160" s="57" t="s">
        <v>494</v>
      </c>
      <c r="M160" s="58" t="s">
        <v>220</v>
      </c>
      <c r="N160" s="58" t="s">
        <v>236</v>
      </c>
      <c r="O160" s="58" t="s">
        <v>926</v>
      </c>
      <c r="P160" s="7">
        <v>240</v>
      </c>
      <c r="Q160" s="124">
        <f>'приложение 5'!Q513</f>
        <v>1350</v>
      </c>
      <c r="R160" s="124">
        <f>'приложение 5'!R513</f>
        <v>0</v>
      </c>
      <c r="S160" s="124">
        <f>'приложение 5'!S513</f>
        <v>0</v>
      </c>
    </row>
    <row r="161" spans="8:19" ht="31.5">
      <c r="H161" s="2" t="s">
        <v>900</v>
      </c>
      <c r="I161" s="263"/>
      <c r="J161" s="4">
        <v>1</v>
      </c>
      <c r="K161" s="11">
        <v>13</v>
      </c>
      <c r="L161" s="57" t="s">
        <v>494</v>
      </c>
      <c r="M161" s="58" t="s">
        <v>220</v>
      </c>
      <c r="N161" s="58" t="s">
        <v>237</v>
      </c>
      <c r="O161" s="58" t="s">
        <v>261</v>
      </c>
      <c r="P161" s="3"/>
      <c r="Q161" s="124">
        <f>Q162+Q164+Q166</f>
        <v>385.1</v>
      </c>
      <c r="R161" s="124">
        <f>R162+R164+R166</f>
        <v>0</v>
      </c>
      <c r="S161" s="124">
        <f>S162+S164+S166</f>
        <v>0</v>
      </c>
    </row>
    <row r="162" spans="8:19" ht="18.75">
      <c r="H162" s="303" t="s">
        <v>462</v>
      </c>
      <c r="I162" s="263"/>
      <c r="J162" s="4">
        <v>1</v>
      </c>
      <c r="K162" s="11">
        <v>13</v>
      </c>
      <c r="L162" s="57" t="s">
        <v>494</v>
      </c>
      <c r="M162" s="58" t="s">
        <v>220</v>
      </c>
      <c r="N162" s="58" t="s">
        <v>237</v>
      </c>
      <c r="O162" s="58" t="s">
        <v>926</v>
      </c>
      <c r="P162" s="3"/>
      <c r="Q162" s="124">
        <f>Q163</f>
        <v>209.8</v>
      </c>
      <c r="R162" s="124">
        <f>R163</f>
        <v>0</v>
      </c>
      <c r="S162" s="124">
        <f>S163</f>
        <v>0</v>
      </c>
    </row>
    <row r="163" spans="8:19" ht="18.75">
      <c r="H163" s="2" t="s">
        <v>299</v>
      </c>
      <c r="I163" s="263"/>
      <c r="J163" s="4">
        <v>1</v>
      </c>
      <c r="K163" s="11">
        <v>13</v>
      </c>
      <c r="L163" s="57" t="s">
        <v>494</v>
      </c>
      <c r="M163" s="58" t="s">
        <v>220</v>
      </c>
      <c r="N163" s="58" t="s">
        <v>237</v>
      </c>
      <c r="O163" s="58" t="s">
        <v>926</v>
      </c>
      <c r="P163" s="3">
        <v>240</v>
      </c>
      <c r="Q163" s="124">
        <f>'приложение 5'!Q922</f>
        <v>209.8</v>
      </c>
      <c r="R163" s="124">
        <f>'приложение 5'!R922</f>
        <v>0</v>
      </c>
      <c r="S163" s="124">
        <f>'приложение 5'!S922</f>
        <v>0</v>
      </c>
    </row>
    <row r="164" spans="8:19" ht="18.75">
      <c r="H164" s="2" t="s">
        <v>60</v>
      </c>
      <c r="I164" s="263"/>
      <c r="J164" s="4">
        <v>1</v>
      </c>
      <c r="K164" s="11">
        <v>13</v>
      </c>
      <c r="L164" s="57" t="s">
        <v>494</v>
      </c>
      <c r="M164" s="58" t="s">
        <v>220</v>
      </c>
      <c r="N164" s="58" t="s">
        <v>237</v>
      </c>
      <c r="O164" s="58" t="s">
        <v>264</v>
      </c>
      <c r="P164" s="3"/>
      <c r="Q164" s="124">
        <f>Q165</f>
        <v>165.3</v>
      </c>
      <c r="R164" s="124">
        <f>R165</f>
        <v>0</v>
      </c>
      <c r="S164" s="124">
        <f>S165</f>
        <v>0</v>
      </c>
    </row>
    <row r="165" spans="8:19" ht="18.75">
      <c r="H165" s="2" t="s">
        <v>299</v>
      </c>
      <c r="I165" s="263"/>
      <c r="J165" s="4">
        <v>1</v>
      </c>
      <c r="K165" s="11">
        <v>13</v>
      </c>
      <c r="L165" s="57" t="s">
        <v>494</v>
      </c>
      <c r="M165" s="58" t="s">
        <v>220</v>
      </c>
      <c r="N165" s="58" t="s">
        <v>237</v>
      </c>
      <c r="O165" s="58" t="s">
        <v>264</v>
      </c>
      <c r="P165" s="3">
        <v>240</v>
      </c>
      <c r="Q165" s="124">
        <f>'приложение 5'!Q924</f>
        <v>165.3</v>
      </c>
      <c r="R165" s="124">
        <f>'приложение 5'!R924</f>
        <v>0</v>
      </c>
      <c r="S165" s="124">
        <f>'приложение 5'!S924</f>
        <v>0</v>
      </c>
    </row>
    <row r="166" spans="8:19" ht="18.75">
      <c r="H166" s="2" t="s">
        <v>74</v>
      </c>
      <c r="I166" s="263"/>
      <c r="J166" s="4">
        <v>1</v>
      </c>
      <c r="K166" s="11">
        <v>13</v>
      </c>
      <c r="L166" s="57" t="s">
        <v>494</v>
      </c>
      <c r="M166" s="58" t="s">
        <v>220</v>
      </c>
      <c r="N166" s="58" t="s">
        <v>237</v>
      </c>
      <c r="O166" s="58" t="s">
        <v>46</v>
      </c>
      <c r="P166" s="3"/>
      <c r="Q166" s="124">
        <f>Q167</f>
        <v>10</v>
      </c>
      <c r="R166" s="124">
        <f>R167</f>
        <v>0</v>
      </c>
      <c r="S166" s="124">
        <f>S167</f>
        <v>0</v>
      </c>
    </row>
    <row r="167" spans="8:19" ht="18.75">
      <c r="H167" s="2" t="s">
        <v>299</v>
      </c>
      <c r="I167" s="263"/>
      <c r="J167" s="4">
        <v>1</v>
      </c>
      <c r="K167" s="11">
        <v>13</v>
      </c>
      <c r="L167" s="57" t="s">
        <v>494</v>
      </c>
      <c r="M167" s="58" t="s">
        <v>220</v>
      </c>
      <c r="N167" s="58" t="s">
        <v>237</v>
      </c>
      <c r="O167" s="58" t="s">
        <v>46</v>
      </c>
      <c r="P167" s="3">
        <v>240</v>
      </c>
      <c r="Q167" s="124">
        <f>'приложение 5'!Q926</f>
        <v>10</v>
      </c>
      <c r="R167" s="124">
        <f>'приложение 5'!R926</f>
        <v>0</v>
      </c>
      <c r="S167" s="124">
        <f>'приложение 5'!S926</f>
        <v>0</v>
      </c>
    </row>
    <row r="168" spans="8:19" ht="31.5">
      <c r="H168" s="2" t="s">
        <v>901</v>
      </c>
      <c r="I168" s="263"/>
      <c r="J168" s="4">
        <v>1</v>
      </c>
      <c r="K168" s="11">
        <v>13</v>
      </c>
      <c r="L168" s="57" t="s">
        <v>494</v>
      </c>
      <c r="M168" s="58" t="s">
        <v>220</v>
      </c>
      <c r="N168" s="58" t="s">
        <v>232</v>
      </c>
      <c r="O168" s="58" t="s">
        <v>261</v>
      </c>
      <c r="P168" s="3"/>
      <c r="Q168" s="124">
        <f aca="true" t="shared" si="11" ref="Q168:S169">Q169</f>
        <v>340.3</v>
      </c>
      <c r="R168" s="124">
        <f t="shared" si="11"/>
        <v>0</v>
      </c>
      <c r="S168" s="124">
        <f t="shared" si="11"/>
        <v>0</v>
      </c>
    </row>
    <row r="169" spans="8:19" ht="18.75">
      <c r="H169" s="303" t="s">
        <v>462</v>
      </c>
      <c r="I169" s="263"/>
      <c r="J169" s="4">
        <v>1</v>
      </c>
      <c r="K169" s="11">
        <v>13</v>
      </c>
      <c r="L169" s="57" t="s">
        <v>494</v>
      </c>
      <c r="M169" s="58" t="s">
        <v>220</v>
      </c>
      <c r="N169" s="58" t="s">
        <v>232</v>
      </c>
      <c r="O169" s="58" t="s">
        <v>926</v>
      </c>
      <c r="P169" s="3"/>
      <c r="Q169" s="124">
        <f t="shared" si="11"/>
        <v>340.3</v>
      </c>
      <c r="R169" s="124">
        <f t="shared" si="11"/>
        <v>0</v>
      </c>
      <c r="S169" s="124">
        <f t="shared" si="11"/>
        <v>0</v>
      </c>
    </row>
    <row r="170" spans="8:19" ht="18.75">
      <c r="H170" s="2" t="s">
        <v>299</v>
      </c>
      <c r="I170" s="263"/>
      <c r="J170" s="4">
        <v>1</v>
      </c>
      <c r="K170" s="11">
        <v>13</v>
      </c>
      <c r="L170" s="57" t="s">
        <v>494</v>
      </c>
      <c r="M170" s="58" t="s">
        <v>220</v>
      </c>
      <c r="N170" s="58" t="s">
        <v>232</v>
      </c>
      <c r="O170" s="58" t="s">
        <v>926</v>
      </c>
      <c r="P170" s="3">
        <v>240</v>
      </c>
      <c r="Q170" s="124">
        <f>'приложение 5'!Q1020</f>
        <v>340.3</v>
      </c>
      <c r="R170" s="124">
        <f>'приложение 5'!R1020</f>
        <v>0</v>
      </c>
      <c r="S170" s="124">
        <f>'приложение 5'!S1020</f>
        <v>0</v>
      </c>
    </row>
    <row r="171" spans="8:19" ht="31.5">
      <c r="H171" s="2" t="s">
        <v>524</v>
      </c>
      <c r="I171" s="263"/>
      <c r="J171" s="11">
        <v>1</v>
      </c>
      <c r="K171" s="11">
        <v>13</v>
      </c>
      <c r="L171" s="57" t="s">
        <v>494</v>
      </c>
      <c r="M171" s="58" t="s">
        <v>220</v>
      </c>
      <c r="N171" s="58" t="s">
        <v>223</v>
      </c>
      <c r="O171" s="58" t="s">
        <v>261</v>
      </c>
      <c r="P171" s="7"/>
      <c r="Q171" s="124">
        <f>Q172+Q175</f>
        <v>1345.8</v>
      </c>
      <c r="R171" s="124">
        <f>R172+R175</f>
        <v>1396.9</v>
      </c>
      <c r="S171" s="124">
        <f>S172+S175</f>
        <v>1397.9</v>
      </c>
    </row>
    <row r="172" spans="8:19" ht="47.25">
      <c r="H172" s="2" t="s">
        <v>273</v>
      </c>
      <c r="I172" s="263"/>
      <c r="J172" s="11">
        <v>1</v>
      </c>
      <c r="K172" s="11">
        <v>13</v>
      </c>
      <c r="L172" s="57" t="s">
        <v>494</v>
      </c>
      <c r="M172" s="58" t="s">
        <v>220</v>
      </c>
      <c r="N172" s="58" t="s">
        <v>223</v>
      </c>
      <c r="O172" s="58" t="s">
        <v>269</v>
      </c>
      <c r="P172" s="7"/>
      <c r="Q172" s="124">
        <f>Q173+Q174</f>
        <v>419</v>
      </c>
      <c r="R172" s="124">
        <f>R173+R174</f>
        <v>420.1</v>
      </c>
      <c r="S172" s="124">
        <f>S173+S174</f>
        <v>421.1</v>
      </c>
    </row>
    <row r="173" spans="8:19" ht="18.75">
      <c r="H173" s="2" t="s">
        <v>204</v>
      </c>
      <c r="I173" s="263"/>
      <c r="J173" s="11">
        <v>1</v>
      </c>
      <c r="K173" s="11">
        <v>13</v>
      </c>
      <c r="L173" s="57" t="s">
        <v>494</v>
      </c>
      <c r="M173" s="58" t="s">
        <v>220</v>
      </c>
      <c r="N173" s="58" t="s">
        <v>223</v>
      </c>
      <c r="O173" s="58" t="s">
        <v>269</v>
      </c>
      <c r="P173" s="7">
        <v>120</v>
      </c>
      <c r="Q173" s="124">
        <f>'приложение 5'!Q89</f>
        <v>302.5</v>
      </c>
      <c r="R173" s="124">
        <f>'приложение 5'!R89</f>
        <v>302.5</v>
      </c>
      <c r="S173" s="124">
        <f>'приложение 5'!S89</f>
        <v>302.5</v>
      </c>
    </row>
    <row r="174" spans="8:19" ht="18.75">
      <c r="H174" s="2" t="s">
        <v>299</v>
      </c>
      <c r="I174" s="263"/>
      <c r="J174" s="11">
        <v>1</v>
      </c>
      <c r="K174" s="11">
        <v>13</v>
      </c>
      <c r="L174" s="57" t="s">
        <v>494</v>
      </c>
      <c r="M174" s="58" t="s">
        <v>220</v>
      </c>
      <c r="N174" s="58" t="s">
        <v>223</v>
      </c>
      <c r="O174" s="58" t="s">
        <v>269</v>
      </c>
      <c r="P174" s="7">
        <v>240</v>
      </c>
      <c r="Q174" s="124">
        <f>'приложение 5'!Q90</f>
        <v>116.5</v>
      </c>
      <c r="R174" s="124">
        <f>'приложение 5'!R90</f>
        <v>117.6</v>
      </c>
      <c r="S174" s="124">
        <f>'приложение 5'!S90</f>
        <v>118.6</v>
      </c>
    </row>
    <row r="175" spans="8:19" ht="18.75">
      <c r="H175" s="2" t="s">
        <v>342</v>
      </c>
      <c r="I175" s="263"/>
      <c r="J175" s="11">
        <v>1</v>
      </c>
      <c r="K175" s="11">
        <v>13</v>
      </c>
      <c r="L175" s="57" t="s">
        <v>494</v>
      </c>
      <c r="M175" s="58" t="s">
        <v>220</v>
      </c>
      <c r="N175" s="58" t="s">
        <v>223</v>
      </c>
      <c r="O175" s="58" t="s">
        <v>341</v>
      </c>
      <c r="P175" s="7"/>
      <c r="Q175" s="124">
        <f>Q176+Q177</f>
        <v>926.8</v>
      </c>
      <c r="R175" s="124">
        <f>R176+R177</f>
        <v>976.8</v>
      </c>
      <c r="S175" s="124">
        <f>S176+S177</f>
        <v>976.8</v>
      </c>
    </row>
    <row r="176" spans="8:19" ht="18.75">
      <c r="H176" s="2" t="s">
        <v>204</v>
      </c>
      <c r="I176" s="263"/>
      <c r="J176" s="11">
        <v>1</v>
      </c>
      <c r="K176" s="11">
        <v>13</v>
      </c>
      <c r="L176" s="57" t="s">
        <v>494</v>
      </c>
      <c r="M176" s="58" t="s">
        <v>220</v>
      </c>
      <c r="N176" s="58" t="s">
        <v>223</v>
      </c>
      <c r="O176" s="58" t="s">
        <v>341</v>
      </c>
      <c r="P176" s="7">
        <v>120</v>
      </c>
      <c r="Q176" s="124">
        <f>'приложение 5'!Q92</f>
        <v>605.4</v>
      </c>
      <c r="R176" s="124">
        <f>'приложение 5'!R92</f>
        <v>605.4</v>
      </c>
      <c r="S176" s="124">
        <f>'приложение 5'!S92</f>
        <v>605.4</v>
      </c>
    </row>
    <row r="177" spans="8:19" ht="18.75">
      <c r="H177" s="2" t="s">
        <v>299</v>
      </c>
      <c r="I177" s="263"/>
      <c r="J177" s="11">
        <v>1</v>
      </c>
      <c r="K177" s="11">
        <v>13</v>
      </c>
      <c r="L177" s="57" t="s">
        <v>494</v>
      </c>
      <c r="M177" s="58" t="s">
        <v>220</v>
      </c>
      <c r="N177" s="58" t="s">
        <v>223</v>
      </c>
      <c r="O177" s="58" t="s">
        <v>341</v>
      </c>
      <c r="P177" s="7">
        <v>240</v>
      </c>
      <c r="Q177" s="124">
        <f>'приложение 5'!Q93</f>
        <v>321.4</v>
      </c>
      <c r="R177" s="124">
        <f>'приложение 5'!R93</f>
        <v>371.4</v>
      </c>
      <c r="S177" s="124">
        <f>'приложение 5'!S93</f>
        <v>371.4</v>
      </c>
    </row>
    <row r="178" spans="8:19" ht="18.75">
      <c r="H178" s="2" t="s">
        <v>525</v>
      </c>
      <c r="I178" s="263"/>
      <c r="J178" s="11">
        <v>1</v>
      </c>
      <c r="K178" s="11">
        <v>13</v>
      </c>
      <c r="L178" s="57" t="s">
        <v>494</v>
      </c>
      <c r="M178" s="58" t="s">
        <v>220</v>
      </c>
      <c r="N178" s="58" t="s">
        <v>239</v>
      </c>
      <c r="O178" s="58" t="s">
        <v>261</v>
      </c>
      <c r="P178" s="7"/>
      <c r="Q178" s="124">
        <f>Q179+Q182+Q184</f>
        <v>52327.1</v>
      </c>
      <c r="R178" s="124">
        <f>R179+R182+R184</f>
        <v>43141.600000000006</v>
      </c>
      <c r="S178" s="124">
        <f>S179+S182+S184</f>
        <v>44150.600000000006</v>
      </c>
    </row>
    <row r="179" spans="8:19" ht="18.75">
      <c r="H179" s="2" t="s">
        <v>62</v>
      </c>
      <c r="I179" s="263"/>
      <c r="J179" s="11">
        <v>1</v>
      </c>
      <c r="K179" s="11">
        <v>13</v>
      </c>
      <c r="L179" s="57" t="s">
        <v>494</v>
      </c>
      <c r="M179" s="58" t="s">
        <v>220</v>
      </c>
      <c r="N179" s="58" t="s">
        <v>239</v>
      </c>
      <c r="O179" s="58" t="s">
        <v>63</v>
      </c>
      <c r="P179" s="7"/>
      <c r="Q179" s="124">
        <f>Q180+Q181</f>
        <v>35586.2</v>
      </c>
      <c r="R179" s="124">
        <f>R180+R181</f>
        <v>26400.7</v>
      </c>
      <c r="S179" s="124">
        <f>S180+S181</f>
        <v>27409.7</v>
      </c>
    </row>
    <row r="180" spans="8:19" ht="18.75">
      <c r="H180" s="2" t="s">
        <v>301</v>
      </c>
      <c r="I180" s="263"/>
      <c r="J180" s="11">
        <v>1</v>
      </c>
      <c r="K180" s="11">
        <v>13</v>
      </c>
      <c r="L180" s="57" t="s">
        <v>494</v>
      </c>
      <c r="M180" s="58" t="s">
        <v>220</v>
      </c>
      <c r="N180" s="58" t="s">
        <v>239</v>
      </c>
      <c r="O180" s="58" t="s">
        <v>63</v>
      </c>
      <c r="P180" s="7">
        <v>610</v>
      </c>
      <c r="Q180" s="124">
        <f>'приложение 5'!Q96</f>
        <v>447</v>
      </c>
      <c r="R180" s="124">
        <f>'приложение 5'!R96</f>
        <v>300</v>
      </c>
      <c r="S180" s="124">
        <f>'приложение 5'!S96</f>
        <v>300</v>
      </c>
    </row>
    <row r="181" spans="8:19" ht="18.75">
      <c r="H181" s="2" t="s">
        <v>318</v>
      </c>
      <c r="I181" s="263"/>
      <c r="J181" s="11">
        <v>1</v>
      </c>
      <c r="K181" s="11">
        <v>13</v>
      </c>
      <c r="L181" s="57" t="s">
        <v>494</v>
      </c>
      <c r="M181" s="58" t="s">
        <v>220</v>
      </c>
      <c r="N181" s="58" t="s">
        <v>239</v>
      </c>
      <c r="O181" s="58" t="s">
        <v>63</v>
      </c>
      <c r="P181" s="7">
        <v>620</v>
      </c>
      <c r="Q181" s="124">
        <f>'приложение 5'!Q97</f>
        <v>35139.2</v>
      </c>
      <c r="R181" s="124">
        <f>'приложение 5'!R97</f>
        <v>26100.7</v>
      </c>
      <c r="S181" s="124">
        <f>'приложение 5'!S97</f>
        <v>27109.7</v>
      </c>
    </row>
    <row r="182" spans="8:19" ht="31.5">
      <c r="H182" s="2" t="s">
        <v>374</v>
      </c>
      <c r="I182" s="263"/>
      <c r="J182" s="11">
        <v>1</v>
      </c>
      <c r="K182" s="11">
        <v>13</v>
      </c>
      <c r="L182" s="57" t="s">
        <v>494</v>
      </c>
      <c r="M182" s="58" t="s">
        <v>220</v>
      </c>
      <c r="N182" s="58" t="s">
        <v>239</v>
      </c>
      <c r="O182" s="58" t="s">
        <v>373</v>
      </c>
      <c r="P182" s="7"/>
      <c r="Q182" s="124">
        <f>Q183</f>
        <v>11780.1</v>
      </c>
      <c r="R182" s="124">
        <f>R183</f>
        <v>11780.1</v>
      </c>
      <c r="S182" s="124">
        <f>S183</f>
        <v>11780.1</v>
      </c>
    </row>
    <row r="183" spans="8:19" ht="18.75">
      <c r="H183" s="2" t="s">
        <v>318</v>
      </c>
      <c r="I183" s="263"/>
      <c r="J183" s="11">
        <v>1</v>
      </c>
      <c r="K183" s="11">
        <v>13</v>
      </c>
      <c r="L183" s="57" t="s">
        <v>494</v>
      </c>
      <c r="M183" s="58" t="s">
        <v>220</v>
      </c>
      <c r="N183" s="58" t="s">
        <v>239</v>
      </c>
      <c r="O183" s="58" t="s">
        <v>373</v>
      </c>
      <c r="P183" s="7">
        <v>620</v>
      </c>
      <c r="Q183" s="124">
        <f>'приложение 5'!Q99</f>
        <v>11780.1</v>
      </c>
      <c r="R183" s="124">
        <f>'приложение 5'!R99</f>
        <v>11780.1</v>
      </c>
      <c r="S183" s="124">
        <f>'приложение 5'!S99</f>
        <v>11780.1</v>
      </c>
    </row>
    <row r="184" spans="8:19" ht="63">
      <c r="H184" s="2" t="s">
        <v>64</v>
      </c>
      <c r="I184" s="263"/>
      <c r="J184" s="11">
        <v>1</v>
      </c>
      <c r="K184" s="11">
        <v>13</v>
      </c>
      <c r="L184" s="57" t="s">
        <v>494</v>
      </c>
      <c r="M184" s="58" t="s">
        <v>220</v>
      </c>
      <c r="N184" s="58" t="s">
        <v>239</v>
      </c>
      <c r="O184" s="58" t="s">
        <v>265</v>
      </c>
      <c r="P184" s="7"/>
      <c r="Q184" s="124">
        <f>Q185</f>
        <v>4960.8</v>
      </c>
      <c r="R184" s="124">
        <f>R185</f>
        <v>4960.8</v>
      </c>
      <c r="S184" s="124">
        <f>S185</f>
        <v>4960.8</v>
      </c>
    </row>
    <row r="185" spans="8:19" ht="18.75">
      <c r="H185" s="2" t="s">
        <v>301</v>
      </c>
      <c r="I185" s="263"/>
      <c r="J185" s="11">
        <v>1</v>
      </c>
      <c r="K185" s="11">
        <v>13</v>
      </c>
      <c r="L185" s="57" t="s">
        <v>494</v>
      </c>
      <c r="M185" s="58" t="s">
        <v>220</v>
      </c>
      <c r="N185" s="58" t="s">
        <v>239</v>
      </c>
      <c r="O185" s="58" t="s">
        <v>265</v>
      </c>
      <c r="P185" s="7">
        <v>610</v>
      </c>
      <c r="Q185" s="124">
        <f>'приложение 5'!Q101</f>
        <v>4960.8</v>
      </c>
      <c r="R185" s="124">
        <f>'приложение 5'!R101</f>
        <v>4960.8</v>
      </c>
      <c r="S185" s="124">
        <f>'приложение 5'!S101</f>
        <v>4960.8</v>
      </c>
    </row>
    <row r="186" spans="8:19" ht="18.75">
      <c r="H186" s="2" t="s">
        <v>75</v>
      </c>
      <c r="I186" s="263"/>
      <c r="J186" s="11">
        <v>1</v>
      </c>
      <c r="K186" s="11">
        <v>13</v>
      </c>
      <c r="L186" s="57" t="s">
        <v>61</v>
      </c>
      <c r="M186" s="58" t="s">
        <v>220</v>
      </c>
      <c r="N186" s="58" t="s">
        <v>229</v>
      </c>
      <c r="O186" s="58" t="s">
        <v>261</v>
      </c>
      <c r="P186" s="7"/>
      <c r="Q186" s="124">
        <f>Q187</f>
        <v>344.7</v>
      </c>
      <c r="R186" s="124">
        <f>R187</f>
        <v>0</v>
      </c>
      <c r="S186" s="124">
        <f>S187</f>
        <v>0</v>
      </c>
    </row>
    <row r="187" spans="8:19" ht="18.75">
      <c r="H187" s="2" t="s">
        <v>69</v>
      </c>
      <c r="I187" s="263"/>
      <c r="J187" s="11">
        <v>1</v>
      </c>
      <c r="K187" s="11">
        <v>13</v>
      </c>
      <c r="L187" s="57" t="s">
        <v>61</v>
      </c>
      <c r="M187" s="58" t="s">
        <v>231</v>
      </c>
      <c r="N187" s="58" t="s">
        <v>229</v>
      </c>
      <c r="O187" s="58" t="s">
        <v>261</v>
      </c>
      <c r="P187" s="7"/>
      <c r="Q187" s="124">
        <f>Q188+Q189</f>
        <v>344.7</v>
      </c>
      <c r="R187" s="124">
        <f>R188+R189</f>
        <v>0</v>
      </c>
      <c r="S187" s="124">
        <f>S188+S189</f>
        <v>0</v>
      </c>
    </row>
    <row r="188" spans="8:19" ht="18.75">
      <c r="H188" s="2" t="s">
        <v>299</v>
      </c>
      <c r="I188" s="263"/>
      <c r="J188" s="11">
        <v>1</v>
      </c>
      <c r="K188" s="11">
        <v>13</v>
      </c>
      <c r="L188" s="57" t="s">
        <v>61</v>
      </c>
      <c r="M188" s="58" t="s">
        <v>231</v>
      </c>
      <c r="N188" s="58" t="s">
        <v>229</v>
      </c>
      <c r="O188" s="58" t="s">
        <v>261</v>
      </c>
      <c r="P188" s="7">
        <v>240</v>
      </c>
      <c r="Q188" s="124">
        <f>'приложение 5'!Q104</f>
        <v>175.6</v>
      </c>
      <c r="R188" s="124">
        <f>'приложение 5'!R104</f>
        <v>0</v>
      </c>
      <c r="S188" s="124">
        <f>'приложение 5'!S104</f>
        <v>0</v>
      </c>
    </row>
    <row r="189" spans="8:19" ht="18.75">
      <c r="H189" s="2" t="s">
        <v>318</v>
      </c>
      <c r="I189" s="263"/>
      <c r="J189" s="11">
        <v>1</v>
      </c>
      <c r="K189" s="11">
        <v>13</v>
      </c>
      <c r="L189" s="57" t="s">
        <v>61</v>
      </c>
      <c r="M189" s="58" t="s">
        <v>231</v>
      </c>
      <c r="N189" s="58" t="s">
        <v>229</v>
      </c>
      <c r="O189" s="58" t="s">
        <v>261</v>
      </c>
      <c r="P189" s="7">
        <v>620</v>
      </c>
      <c r="Q189" s="124">
        <f>'приложение 5'!Q105</f>
        <v>169.1</v>
      </c>
      <c r="R189" s="124">
        <f>'приложение 5'!R105</f>
        <v>0</v>
      </c>
      <c r="S189" s="124">
        <f>'приложение 5'!S105</f>
        <v>0</v>
      </c>
    </row>
    <row r="190" spans="8:19" ht="19.5">
      <c r="H190" s="353" t="s">
        <v>563</v>
      </c>
      <c r="I190" s="340"/>
      <c r="J190" s="86">
        <v>2</v>
      </c>
      <c r="K190" s="86"/>
      <c r="L190" s="87"/>
      <c r="M190" s="88"/>
      <c r="N190" s="88"/>
      <c r="O190" s="88"/>
      <c r="P190" s="85"/>
      <c r="Q190" s="123">
        <f>Q191</f>
        <v>1200.8000000000002</v>
      </c>
      <c r="R190" s="123">
        <f aca="true" t="shared" si="12" ref="R190:S193">R191</f>
        <v>1320</v>
      </c>
      <c r="S190" s="123">
        <f t="shared" si="12"/>
        <v>1441.2</v>
      </c>
    </row>
    <row r="191" spans="8:19" ht="19.5">
      <c r="H191" s="96" t="s">
        <v>564</v>
      </c>
      <c r="I191" s="338"/>
      <c r="J191" s="86">
        <v>2</v>
      </c>
      <c r="K191" s="86">
        <v>3</v>
      </c>
      <c r="L191" s="87"/>
      <c r="M191" s="88"/>
      <c r="N191" s="88"/>
      <c r="O191" s="88"/>
      <c r="P191" s="85"/>
      <c r="Q191" s="123">
        <f>Q192</f>
        <v>1200.8000000000002</v>
      </c>
      <c r="R191" s="123">
        <f t="shared" si="12"/>
        <v>1320</v>
      </c>
      <c r="S191" s="123">
        <f t="shared" si="12"/>
        <v>1441.2</v>
      </c>
    </row>
    <row r="192" spans="8:19" ht="31.5">
      <c r="H192" s="2" t="s">
        <v>522</v>
      </c>
      <c r="I192" s="263"/>
      <c r="J192" s="11">
        <v>2</v>
      </c>
      <c r="K192" s="11">
        <v>3</v>
      </c>
      <c r="L192" s="57" t="s">
        <v>494</v>
      </c>
      <c r="M192" s="58" t="s">
        <v>220</v>
      </c>
      <c r="N192" s="58" t="s">
        <v>229</v>
      </c>
      <c r="O192" s="58" t="s">
        <v>261</v>
      </c>
      <c r="P192" s="7"/>
      <c r="Q192" s="124">
        <f>Q193+Q197+Q200</f>
        <v>1200.8000000000002</v>
      </c>
      <c r="R192" s="124">
        <f>R193+R197+R200</f>
        <v>1320</v>
      </c>
      <c r="S192" s="124">
        <f>S193+S197+S200</f>
        <v>1441.2</v>
      </c>
    </row>
    <row r="193" spans="8:19" ht="18.75">
      <c r="H193" s="2" t="s">
        <v>559</v>
      </c>
      <c r="I193" s="263"/>
      <c r="J193" s="11">
        <v>2</v>
      </c>
      <c r="K193" s="11">
        <v>3</v>
      </c>
      <c r="L193" s="57" t="s">
        <v>494</v>
      </c>
      <c r="M193" s="58" t="s">
        <v>220</v>
      </c>
      <c r="N193" s="58" t="s">
        <v>236</v>
      </c>
      <c r="O193" s="58" t="s">
        <v>261</v>
      </c>
      <c r="P193" s="7"/>
      <c r="Q193" s="124">
        <f>Q194</f>
        <v>600.4000000000001</v>
      </c>
      <c r="R193" s="124">
        <f t="shared" si="12"/>
        <v>660</v>
      </c>
      <c r="S193" s="124">
        <f t="shared" si="12"/>
        <v>720.6</v>
      </c>
    </row>
    <row r="194" spans="8:19" ht="31.5">
      <c r="H194" s="2" t="s">
        <v>560</v>
      </c>
      <c r="I194" s="281"/>
      <c r="J194" s="11">
        <v>2</v>
      </c>
      <c r="K194" s="11">
        <v>3</v>
      </c>
      <c r="L194" s="57" t="s">
        <v>494</v>
      </c>
      <c r="M194" s="58" t="s">
        <v>220</v>
      </c>
      <c r="N194" s="58" t="s">
        <v>236</v>
      </c>
      <c r="O194" s="58" t="s">
        <v>504</v>
      </c>
      <c r="P194" s="7"/>
      <c r="Q194" s="124">
        <f>Q195+Q196</f>
        <v>600.4000000000001</v>
      </c>
      <c r="R194" s="124">
        <f>R195+R196</f>
        <v>660</v>
      </c>
      <c r="S194" s="124">
        <f>S195+S196</f>
        <v>720.6</v>
      </c>
    </row>
    <row r="195" spans="8:19" ht="18.75">
      <c r="H195" s="2" t="s">
        <v>204</v>
      </c>
      <c r="I195" s="263"/>
      <c r="J195" s="11">
        <v>2</v>
      </c>
      <c r="K195" s="11">
        <v>3</v>
      </c>
      <c r="L195" s="57" t="s">
        <v>494</v>
      </c>
      <c r="M195" s="58" t="s">
        <v>220</v>
      </c>
      <c r="N195" s="58" t="s">
        <v>236</v>
      </c>
      <c r="O195" s="58" t="s">
        <v>504</v>
      </c>
      <c r="P195" s="7">
        <v>120</v>
      </c>
      <c r="Q195" s="124">
        <f>'приложение 5'!Q519</f>
        <v>443.6</v>
      </c>
      <c r="R195" s="124">
        <f>'приложение 5'!R519</f>
        <v>443.6</v>
      </c>
      <c r="S195" s="124">
        <f>'приложение 5'!S519</f>
        <v>443.6</v>
      </c>
    </row>
    <row r="196" spans="8:19" ht="18.75">
      <c r="H196" s="2" t="s">
        <v>299</v>
      </c>
      <c r="I196" s="263"/>
      <c r="J196" s="13">
        <v>2</v>
      </c>
      <c r="K196" s="11">
        <v>3</v>
      </c>
      <c r="L196" s="57" t="s">
        <v>494</v>
      </c>
      <c r="M196" s="58" t="s">
        <v>220</v>
      </c>
      <c r="N196" s="58" t="s">
        <v>236</v>
      </c>
      <c r="O196" s="58" t="s">
        <v>504</v>
      </c>
      <c r="P196" s="7">
        <v>240</v>
      </c>
      <c r="Q196" s="124">
        <f>'приложение 5'!Q520</f>
        <v>156.8</v>
      </c>
      <c r="R196" s="124">
        <f>'приложение 5'!R520</f>
        <v>216.4</v>
      </c>
      <c r="S196" s="124">
        <f>'приложение 5'!S520</f>
        <v>277</v>
      </c>
    </row>
    <row r="197" spans="8:19" ht="31.5">
      <c r="H197" s="2" t="s">
        <v>903</v>
      </c>
      <c r="I197" s="281"/>
      <c r="J197" s="4">
        <v>2</v>
      </c>
      <c r="K197" s="11">
        <v>3</v>
      </c>
      <c r="L197" s="57" t="s">
        <v>494</v>
      </c>
      <c r="M197" s="58" t="s">
        <v>220</v>
      </c>
      <c r="N197" s="58" t="s">
        <v>237</v>
      </c>
      <c r="O197" s="58" t="s">
        <v>261</v>
      </c>
      <c r="P197" s="3"/>
      <c r="Q197" s="124">
        <f aca="true" t="shared" si="13" ref="Q197:S198">Q198</f>
        <v>300.2</v>
      </c>
      <c r="R197" s="124">
        <f t="shared" si="13"/>
        <v>330</v>
      </c>
      <c r="S197" s="124">
        <f t="shared" si="13"/>
        <v>360.3</v>
      </c>
    </row>
    <row r="198" spans="8:19" ht="31.5">
      <c r="H198" s="2" t="s">
        <v>560</v>
      </c>
      <c r="I198" s="281"/>
      <c r="J198" s="4">
        <v>2</v>
      </c>
      <c r="K198" s="11">
        <v>3</v>
      </c>
      <c r="L198" s="57" t="s">
        <v>494</v>
      </c>
      <c r="M198" s="58" t="s">
        <v>220</v>
      </c>
      <c r="N198" s="58" t="s">
        <v>237</v>
      </c>
      <c r="O198" s="58" t="s">
        <v>504</v>
      </c>
      <c r="P198" s="3"/>
      <c r="Q198" s="124">
        <f t="shared" si="13"/>
        <v>300.2</v>
      </c>
      <c r="R198" s="124">
        <f t="shared" si="13"/>
        <v>330</v>
      </c>
      <c r="S198" s="124">
        <f t="shared" si="13"/>
        <v>360.3</v>
      </c>
    </row>
    <row r="199" spans="8:19" ht="18.75">
      <c r="H199" s="2" t="s">
        <v>204</v>
      </c>
      <c r="I199" s="281"/>
      <c r="J199" s="4">
        <v>2</v>
      </c>
      <c r="K199" s="11">
        <v>3</v>
      </c>
      <c r="L199" s="57" t="s">
        <v>494</v>
      </c>
      <c r="M199" s="58" t="s">
        <v>220</v>
      </c>
      <c r="N199" s="58" t="s">
        <v>237</v>
      </c>
      <c r="O199" s="58" t="s">
        <v>504</v>
      </c>
      <c r="P199" s="3">
        <v>120</v>
      </c>
      <c r="Q199" s="124">
        <f>'приложение 5'!Q932</f>
        <v>300.2</v>
      </c>
      <c r="R199" s="124">
        <f>'приложение 5'!R932</f>
        <v>330</v>
      </c>
      <c r="S199" s="124">
        <f>'приложение 5'!S932</f>
        <v>360.3</v>
      </c>
    </row>
    <row r="200" spans="8:19" ht="31.5">
      <c r="H200" s="2" t="s">
        <v>902</v>
      </c>
      <c r="I200" s="281"/>
      <c r="J200" s="4">
        <v>2</v>
      </c>
      <c r="K200" s="11">
        <v>3</v>
      </c>
      <c r="L200" s="57" t="s">
        <v>494</v>
      </c>
      <c r="M200" s="58" t="s">
        <v>220</v>
      </c>
      <c r="N200" s="58" t="s">
        <v>232</v>
      </c>
      <c r="O200" s="58" t="s">
        <v>261</v>
      </c>
      <c r="P200" s="3"/>
      <c r="Q200" s="124">
        <f aca="true" t="shared" si="14" ref="Q200:S201">Q201</f>
        <v>300.2</v>
      </c>
      <c r="R200" s="124">
        <f t="shared" si="14"/>
        <v>330</v>
      </c>
      <c r="S200" s="124">
        <f t="shared" si="14"/>
        <v>360.3</v>
      </c>
    </row>
    <row r="201" spans="8:19" ht="31.5">
      <c r="H201" s="2" t="s">
        <v>560</v>
      </c>
      <c r="I201" s="263"/>
      <c r="J201" s="4">
        <v>2</v>
      </c>
      <c r="K201" s="11">
        <v>3</v>
      </c>
      <c r="L201" s="57" t="s">
        <v>494</v>
      </c>
      <c r="M201" s="58" t="s">
        <v>220</v>
      </c>
      <c r="N201" s="58" t="s">
        <v>232</v>
      </c>
      <c r="O201" s="58" t="s">
        <v>504</v>
      </c>
      <c r="P201" s="3"/>
      <c r="Q201" s="124">
        <f t="shared" si="14"/>
        <v>300.2</v>
      </c>
      <c r="R201" s="124">
        <f t="shared" si="14"/>
        <v>330</v>
      </c>
      <c r="S201" s="124">
        <f t="shared" si="14"/>
        <v>360.3</v>
      </c>
    </row>
    <row r="202" spans="8:19" ht="18.75">
      <c r="H202" s="2" t="s">
        <v>204</v>
      </c>
      <c r="I202" s="263"/>
      <c r="J202" s="4">
        <v>2</v>
      </c>
      <c r="K202" s="11">
        <v>3</v>
      </c>
      <c r="L202" s="57" t="s">
        <v>494</v>
      </c>
      <c r="M202" s="58" t="s">
        <v>220</v>
      </c>
      <c r="N202" s="58" t="s">
        <v>232</v>
      </c>
      <c r="O202" s="58" t="s">
        <v>504</v>
      </c>
      <c r="P202" s="3">
        <v>120</v>
      </c>
      <c r="Q202" s="124">
        <f>'приложение 5'!Q1026</f>
        <v>300.2</v>
      </c>
      <c r="R202" s="124">
        <f>'приложение 5'!R1026</f>
        <v>330</v>
      </c>
      <c r="S202" s="124">
        <f>'приложение 5'!S1026</f>
        <v>360.3</v>
      </c>
    </row>
    <row r="203" spans="8:19" ht="19.5">
      <c r="H203" s="227" t="s">
        <v>256</v>
      </c>
      <c r="I203" s="297"/>
      <c r="J203" s="86">
        <v>3</v>
      </c>
      <c r="K203" s="86" t="s">
        <v>262</v>
      </c>
      <c r="L203" s="87"/>
      <c r="M203" s="88"/>
      <c r="N203" s="88"/>
      <c r="O203" s="88"/>
      <c r="P203" s="85"/>
      <c r="Q203" s="123">
        <f>Q204+Q227+Q218</f>
        <v>6322.6</v>
      </c>
      <c r="R203" s="123">
        <f>R204+R227+R218</f>
        <v>7267.1</v>
      </c>
      <c r="S203" s="123">
        <f>S204+S227+S218</f>
        <v>6075.1</v>
      </c>
    </row>
    <row r="204" spans="8:19" ht="19.5">
      <c r="H204" s="227" t="s">
        <v>458</v>
      </c>
      <c r="I204" s="297"/>
      <c r="J204" s="86">
        <v>3</v>
      </c>
      <c r="K204" s="86">
        <v>9</v>
      </c>
      <c r="L204" s="87"/>
      <c r="M204" s="88"/>
      <c r="N204" s="88"/>
      <c r="O204" s="88"/>
      <c r="P204" s="85"/>
      <c r="Q204" s="123">
        <f>Q205</f>
        <v>3282.6000000000004</v>
      </c>
      <c r="R204" s="123">
        <f>R205</f>
        <v>2967.8</v>
      </c>
      <c r="S204" s="123">
        <f>S205</f>
        <v>2966.8</v>
      </c>
    </row>
    <row r="205" spans="8:19" ht="31.5">
      <c r="H205" s="2" t="s">
        <v>526</v>
      </c>
      <c r="I205" s="263"/>
      <c r="J205" s="11">
        <v>3</v>
      </c>
      <c r="K205" s="11">
        <v>9</v>
      </c>
      <c r="L205" s="57" t="s">
        <v>215</v>
      </c>
      <c r="M205" s="58" t="s">
        <v>220</v>
      </c>
      <c r="N205" s="58" t="s">
        <v>229</v>
      </c>
      <c r="O205" s="58" t="s">
        <v>261</v>
      </c>
      <c r="P205" s="7"/>
      <c r="Q205" s="124">
        <f>Q210+Q206</f>
        <v>3282.6000000000004</v>
      </c>
      <c r="R205" s="124">
        <f>R210+R206</f>
        <v>2967.8</v>
      </c>
      <c r="S205" s="124">
        <f>S210+S206</f>
        <v>2966.8</v>
      </c>
    </row>
    <row r="206" spans="8:19" ht="18.75">
      <c r="H206" s="2" t="s">
        <v>268</v>
      </c>
      <c r="I206" s="263"/>
      <c r="J206" s="11">
        <v>3</v>
      </c>
      <c r="K206" s="11">
        <v>9</v>
      </c>
      <c r="L206" s="57" t="s">
        <v>215</v>
      </c>
      <c r="M206" s="58" t="s">
        <v>222</v>
      </c>
      <c r="N206" s="58" t="s">
        <v>229</v>
      </c>
      <c r="O206" s="58" t="s">
        <v>261</v>
      </c>
      <c r="P206" s="7"/>
      <c r="Q206" s="124">
        <f aca="true" t="shared" si="15" ref="Q206:S208">Q207</f>
        <v>148</v>
      </c>
      <c r="R206" s="124">
        <f t="shared" si="15"/>
        <v>0</v>
      </c>
      <c r="S206" s="124">
        <f t="shared" si="15"/>
        <v>0</v>
      </c>
    </row>
    <row r="207" spans="8:19" ht="31.5">
      <c r="H207" s="2" t="s">
        <v>531</v>
      </c>
      <c r="I207" s="263"/>
      <c r="J207" s="11">
        <v>3</v>
      </c>
      <c r="K207" s="11">
        <v>9</v>
      </c>
      <c r="L207" s="57" t="s">
        <v>215</v>
      </c>
      <c r="M207" s="58" t="s">
        <v>222</v>
      </c>
      <c r="N207" s="58" t="s">
        <v>236</v>
      </c>
      <c r="O207" s="58" t="s">
        <v>261</v>
      </c>
      <c r="P207" s="7"/>
      <c r="Q207" s="124">
        <f t="shared" si="15"/>
        <v>148</v>
      </c>
      <c r="R207" s="124">
        <f t="shared" si="15"/>
        <v>0</v>
      </c>
      <c r="S207" s="124">
        <f t="shared" si="15"/>
        <v>0</v>
      </c>
    </row>
    <row r="208" spans="8:19" ht="18.75">
      <c r="H208" s="2" t="s">
        <v>297</v>
      </c>
      <c r="I208" s="263"/>
      <c r="J208" s="11">
        <v>3</v>
      </c>
      <c r="K208" s="11">
        <v>9</v>
      </c>
      <c r="L208" s="57" t="s">
        <v>215</v>
      </c>
      <c r="M208" s="58" t="s">
        <v>222</v>
      </c>
      <c r="N208" s="58" t="s">
        <v>236</v>
      </c>
      <c r="O208" s="58" t="s">
        <v>67</v>
      </c>
      <c r="P208" s="7"/>
      <c r="Q208" s="124">
        <f t="shared" si="15"/>
        <v>148</v>
      </c>
      <c r="R208" s="124">
        <f t="shared" si="15"/>
        <v>0</v>
      </c>
      <c r="S208" s="124">
        <f t="shared" si="15"/>
        <v>0</v>
      </c>
    </row>
    <row r="209" spans="8:19" ht="18.75">
      <c r="H209" s="2" t="s">
        <v>299</v>
      </c>
      <c r="I209" s="263"/>
      <c r="J209" s="11">
        <v>3</v>
      </c>
      <c r="K209" s="11">
        <v>9</v>
      </c>
      <c r="L209" s="57" t="s">
        <v>215</v>
      </c>
      <c r="M209" s="58" t="s">
        <v>222</v>
      </c>
      <c r="N209" s="58" t="s">
        <v>236</v>
      </c>
      <c r="O209" s="58" t="s">
        <v>67</v>
      </c>
      <c r="P209" s="7">
        <v>240</v>
      </c>
      <c r="Q209" s="124">
        <f>'приложение 5'!Q112</f>
        <v>148</v>
      </c>
      <c r="R209" s="124">
        <f>'приложение 5'!R112</f>
        <v>0</v>
      </c>
      <c r="S209" s="124">
        <f>'приложение 5'!S112</f>
        <v>0</v>
      </c>
    </row>
    <row r="210" spans="8:19" ht="31.5">
      <c r="H210" s="8" t="s">
        <v>1006</v>
      </c>
      <c r="I210" s="263"/>
      <c r="J210" s="11">
        <v>3</v>
      </c>
      <c r="K210" s="11">
        <v>9</v>
      </c>
      <c r="L210" s="57" t="s">
        <v>215</v>
      </c>
      <c r="M210" s="58" t="s">
        <v>217</v>
      </c>
      <c r="N210" s="58" t="s">
        <v>229</v>
      </c>
      <c r="O210" s="58" t="s">
        <v>261</v>
      </c>
      <c r="P210" s="7"/>
      <c r="Q210" s="124">
        <f>Q211</f>
        <v>3134.6000000000004</v>
      </c>
      <c r="R210" s="124">
        <f>R211</f>
        <v>2967.8</v>
      </c>
      <c r="S210" s="124">
        <f>S211</f>
        <v>2966.8</v>
      </c>
    </row>
    <row r="211" spans="8:19" ht="31.5">
      <c r="H211" s="8" t="s">
        <v>1007</v>
      </c>
      <c r="I211" s="263"/>
      <c r="J211" s="11">
        <v>3</v>
      </c>
      <c r="K211" s="11">
        <v>9</v>
      </c>
      <c r="L211" s="57" t="s">
        <v>215</v>
      </c>
      <c r="M211" s="58" t="s">
        <v>217</v>
      </c>
      <c r="N211" s="58" t="s">
        <v>221</v>
      </c>
      <c r="O211" s="58" t="s">
        <v>261</v>
      </c>
      <c r="P211" s="7"/>
      <c r="Q211" s="124">
        <f>Q212+Q216</f>
        <v>3134.6000000000004</v>
      </c>
      <c r="R211" s="124">
        <f>R212+R216</f>
        <v>2967.8</v>
      </c>
      <c r="S211" s="124">
        <f>S212+S216</f>
        <v>2966.8</v>
      </c>
    </row>
    <row r="212" spans="8:19" ht="18.75">
      <c r="H212" s="2" t="s">
        <v>62</v>
      </c>
      <c r="I212" s="263"/>
      <c r="J212" s="11">
        <v>3</v>
      </c>
      <c r="K212" s="11">
        <v>9</v>
      </c>
      <c r="L212" s="57" t="s">
        <v>215</v>
      </c>
      <c r="M212" s="58" t="s">
        <v>217</v>
      </c>
      <c r="N212" s="58" t="s">
        <v>221</v>
      </c>
      <c r="O212" s="58" t="s">
        <v>63</v>
      </c>
      <c r="P212" s="7"/>
      <c r="Q212" s="124">
        <f>Q213+Q214+Q215</f>
        <v>2003.4</v>
      </c>
      <c r="R212" s="124">
        <f>R213+R214+R215</f>
        <v>1836.6</v>
      </c>
      <c r="S212" s="124">
        <f>S213+S214+S215</f>
        <v>1835.6</v>
      </c>
    </row>
    <row r="213" spans="8:19" ht="18.75">
      <c r="H213" s="2" t="s">
        <v>302</v>
      </c>
      <c r="I213" s="263"/>
      <c r="J213" s="11">
        <v>3</v>
      </c>
      <c r="K213" s="11">
        <v>9</v>
      </c>
      <c r="L213" s="57" t="s">
        <v>215</v>
      </c>
      <c r="M213" s="58" t="s">
        <v>217</v>
      </c>
      <c r="N213" s="58" t="s">
        <v>221</v>
      </c>
      <c r="O213" s="58" t="s">
        <v>63</v>
      </c>
      <c r="P213" s="7">
        <v>110</v>
      </c>
      <c r="Q213" s="124">
        <f>'приложение 5'!Q116</f>
        <v>1793</v>
      </c>
      <c r="R213" s="124">
        <f>'приложение 5'!R116</f>
        <v>1675.6</v>
      </c>
      <c r="S213" s="124">
        <f>'приложение 5'!S116</f>
        <v>1675.6</v>
      </c>
    </row>
    <row r="214" spans="8:19" ht="18.75">
      <c r="H214" s="2" t="s">
        <v>299</v>
      </c>
      <c r="I214" s="263"/>
      <c r="J214" s="11">
        <v>3</v>
      </c>
      <c r="K214" s="11">
        <v>9</v>
      </c>
      <c r="L214" s="57" t="s">
        <v>215</v>
      </c>
      <c r="M214" s="58" t="s">
        <v>217</v>
      </c>
      <c r="N214" s="58" t="s">
        <v>221</v>
      </c>
      <c r="O214" s="58" t="s">
        <v>63</v>
      </c>
      <c r="P214" s="7">
        <v>240</v>
      </c>
      <c r="Q214" s="124">
        <f>'приложение 5'!Q117</f>
        <v>210.4</v>
      </c>
      <c r="R214" s="124">
        <f>'приложение 5'!R117</f>
        <v>161</v>
      </c>
      <c r="S214" s="124">
        <f>'приложение 5'!S117</f>
        <v>160</v>
      </c>
    </row>
    <row r="215" spans="8:19" ht="18.75" hidden="1">
      <c r="H215" s="2" t="s">
        <v>300</v>
      </c>
      <c r="I215" s="263"/>
      <c r="J215" s="11">
        <v>3</v>
      </c>
      <c r="K215" s="11">
        <v>9</v>
      </c>
      <c r="L215" s="57" t="s">
        <v>215</v>
      </c>
      <c r="M215" s="58" t="s">
        <v>217</v>
      </c>
      <c r="N215" s="58" t="s">
        <v>221</v>
      </c>
      <c r="O215" s="58" t="s">
        <v>63</v>
      </c>
      <c r="P215" s="7">
        <v>850</v>
      </c>
      <c r="Q215" s="124">
        <f>'приложение 5'!Q118</f>
        <v>0</v>
      </c>
      <c r="R215" s="124">
        <f>'приложение 5'!R118</f>
        <v>0</v>
      </c>
      <c r="S215" s="124">
        <f>'приложение 5'!S118</f>
        <v>0</v>
      </c>
    </row>
    <row r="216" spans="8:19" ht="31.5">
      <c r="H216" s="2" t="s">
        <v>374</v>
      </c>
      <c r="I216" s="263"/>
      <c r="J216" s="11">
        <v>3</v>
      </c>
      <c r="K216" s="11">
        <v>9</v>
      </c>
      <c r="L216" s="57" t="s">
        <v>215</v>
      </c>
      <c r="M216" s="58" t="s">
        <v>217</v>
      </c>
      <c r="N216" s="58" t="s">
        <v>221</v>
      </c>
      <c r="O216" s="58" t="s">
        <v>373</v>
      </c>
      <c r="P216" s="7"/>
      <c r="Q216" s="124">
        <f>Q217</f>
        <v>1131.2</v>
      </c>
      <c r="R216" s="124">
        <f>R217</f>
        <v>1131.2</v>
      </c>
      <c r="S216" s="124">
        <f>S217</f>
        <v>1131.2</v>
      </c>
    </row>
    <row r="217" spans="8:19" ht="18.75">
      <c r="H217" s="2" t="s">
        <v>302</v>
      </c>
      <c r="I217" s="263"/>
      <c r="J217" s="11">
        <v>3</v>
      </c>
      <c r="K217" s="11">
        <v>9</v>
      </c>
      <c r="L217" s="57" t="s">
        <v>215</v>
      </c>
      <c r="M217" s="58" t="s">
        <v>217</v>
      </c>
      <c r="N217" s="58" t="s">
        <v>221</v>
      </c>
      <c r="O217" s="58" t="s">
        <v>373</v>
      </c>
      <c r="P217" s="7">
        <v>110</v>
      </c>
      <c r="Q217" s="124">
        <f>'приложение 5'!Q120</f>
        <v>1131.2</v>
      </c>
      <c r="R217" s="124">
        <f>'приложение 5'!R120</f>
        <v>1131.2</v>
      </c>
      <c r="S217" s="124">
        <f>'приложение 5'!S120</f>
        <v>1131.2</v>
      </c>
    </row>
    <row r="218" spans="8:19" ht="31.5">
      <c r="H218" s="96" t="s">
        <v>888</v>
      </c>
      <c r="I218" s="341"/>
      <c r="J218" s="86">
        <v>3</v>
      </c>
      <c r="K218" s="86">
        <v>10</v>
      </c>
      <c r="L218" s="57"/>
      <c r="M218" s="58"/>
      <c r="N218" s="58"/>
      <c r="O218" s="58"/>
      <c r="P218" s="7"/>
      <c r="Q218" s="123">
        <f aca="true" t="shared" si="16" ref="Q218:S220">Q219</f>
        <v>2900</v>
      </c>
      <c r="R218" s="123">
        <f t="shared" si="16"/>
        <v>4076</v>
      </c>
      <c r="S218" s="123">
        <f t="shared" si="16"/>
        <v>2885</v>
      </c>
    </row>
    <row r="219" spans="8:19" ht="31.5">
      <c r="H219" s="2" t="s">
        <v>526</v>
      </c>
      <c r="I219" s="263"/>
      <c r="J219" s="11">
        <v>3</v>
      </c>
      <c r="K219" s="11">
        <v>10</v>
      </c>
      <c r="L219" s="57" t="s">
        <v>215</v>
      </c>
      <c r="M219" s="58" t="s">
        <v>220</v>
      </c>
      <c r="N219" s="58" t="s">
        <v>220</v>
      </c>
      <c r="O219" s="58" t="s">
        <v>261</v>
      </c>
      <c r="P219" s="7"/>
      <c r="Q219" s="124">
        <f t="shared" si="16"/>
        <v>2900</v>
      </c>
      <c r="R219" s="124">
        <f t="shared" si="16"/>
        <v>4076</v>
      </c>
      <c r="S219" s="124">
        <f t="shared" si="16"/>
        <v>2885</v>
      </c>
    </row>
    <row r="220" spans="8:19" ht="31.5">
      <c r="H220" s="2" t="s">
        <v>1006</v>
      </c>
      <c r="I220" s="263"/>
      <c r="J220" s="11">
        <v>3</v>
      </c>
      <c r="K220" s="11">
        <v>10</v>
      </c>
      <c r="L220" s="57" t="s">
        <v>215</v>
      </c>
      <c r="M220" s="58" t="s">
        <v>217</v>
      </c>
      <c r="N220" s="58" t="s">
        <v>220</v>
      </c>
      <c r="O220" s="58" t="s">
        <v>261</v>
      </c>
      <c r="P220" s="7"/>
      <c r="Q220" s="124">
        <f t="shared" si="16"/>
        <v>2900</v>
      </c>
      <c r="R220" s="124">
        <f t="shared" si="16"/>
        <v>4076</v>
      </c>
      <c r="S220" s="124">
        <f t="shared" si="16"/>
        <v>2885</v>
      </c>
    </row>
    <row r="221" spans="8:19" ht="31.5">
      <c r="H221" s="8" t="s">
        <v>881</v>
      </c>
      <c r="I221" s="263"/>
      <c r="J221" s="11">
        <v>3</v>
      </c>
      <c r="K221" s="11">
        <v>10</v>
      </c>
      <c r="L221" s="57" t="s">
        <v>215</v>
      </c>
      <c r="M221" s="58" t="s">
        <v>217</v>
      </c>
      <c r="N221" s="58" t="s">
        <v>236</v>
      </c>
      <c r="O221" s="58" t="s">
        <v>261</v>
      </c>
      <c r="P221" s="7"/>
      <c r="Q221" s="124">
        <f>Q222+Q225</f>
        <v>2900</v>
      </c>
      <c r="R221" s="124">
        <f>R222+R225</f>
        <v>4076</v>
      </c>
      <c r="S221" s="124">
        <f>S222+S225</f>
        <v>2885</v>
      </c>
    </row>
    <row r="222" spans="8:19" ht="18.75">
      <c r="H222" s="2" t="s">
        <v>872</v>
      </c>
      <c r="I222" s="263"/>
      <c r="J222" s="11">
        <v>3</v>
      </c>
      <c r="K222" s="11">
        <v>10</v>
      </c>
      <c r="L222" s="57" t="s">
        <v>215</v>
      </c>
      <c r="M222" s="58" t="s">
        <v>217</v>
      </c>
      <c r="N222" s="58" t="s">
        <v>236</v>
      </c>
      <c r="O222" s="58" t="s">
        <v>890</v>
      </c>
      <c r="P222" s="7"/>
      <c r="Q222" s="124">
        <f>Q223+Q224</f>
        <v>2900</v>
      </c>
      <c r="R222" s="124">
        <f>R223+R224</f>
        <v>900</v>
      </c>
      <c r="S222" s="124">
        <f>S223+S224</f>
        <v>900</v>
      </c>
    </row>
    <row r="223" spans="8:19" ht="18.75">
      <c r="H223" s="2" t="str">
        <f>H232</f>
        <v>Иные закупки товаров, работ и услуг для обеспечения государственных (муниципальных) нужд</v>
      </c>
      <c r="I223" s="263"/>
      <c r="J223" s="11">
        <v>3</v>
      </c>
      <c r="K223" s="11">
        <v>10</v>
      </c>
      <c r="L223" s="57" t="s">
        <v>215</v>
      </c>
      <c r="M223" s="58" t="s">
        <v>217</v>
      </c>
      <c r="N223" s="58" t="s">
        <v>236</v>
      </c>
      <c r="O223" s="58" t="s">
        <v>890</v>
      </c>
      <c r="P223" s="7">
        <v>240</v>
      </c>
      <c r="Q223" s="124">
        <f>'приложение 5'!Q527+'приложение 5'!Q939+'приложение 5'!Q1033+'приложение 5'!Q126</f>
        <v>2800</v>
      </c>
      <c r="R223" s="124">
        <f>'приложение 5'!R527+'приложение 5'!R939+'приложение 5'!R1033+'приложение 5'!R126</f>
        <v>800</v>
      </c>
      <c r="S223" s="124">
        <f>'приложение 5'!S527+'приложение 5'!S939+'приложение 5'!S1033+'приложение 5'!S126</f>
        <v>800</v>
      </c>
    </row>
    <row r="224" spans="8:19" ht="18.75">
      <c r="H224" s="2" t="s">
        <v>301</v>
      </c>
      <c r="I224" s="263"/>
      <c r="J224" s="11">
        <v>3</v>
      </c>
      <c r="K224" s="11">
        <v>10</v>
      </c>
      <c r="L224" s="57" t="s">
        <v>215</v>
      </c>
      <c r="M224" s="58" t="s">
        <v>217</v>
      </c>
      <c r="N224" s="58" t="s">
        <v>236</v>
      </c>
      <c r="O224" s="58" t="s">
        <v>890</v>
      </c>
      <c r="P224" s="7">
        <v>610</v>
      </c>
      <c r="Q224" s="124">
        <f>'приложение 5'!Q528</f>
        <v>100</v>
      </c>
      <c r="R224" s="124">
        <f>'приложение 5'!R528</f>
        <v>100</v>
      </c>
      <c r="S224" s="124">
        <f>'приложение 5'!S528</f>
        <v>100</v>
      </c>
    </row>
    <row r="225" spans="8:19" ht="31.5">
      <c r="H225" s="2" t="s">
        <v>1051</v>
      </c>
      <c r="I225" s="263"/>
      <c r="J225" s="11">
        <v>3</v>
      </c>
      <c r="K225" s="11">
        <v>10</v>
      </c>
      <c r="L225" s="57" t="s">
        <v>215</v>
      </c>
      <c r="M225" s="58" t="s">
        <v>217</v>
      </c>
      <c r="N225" s="58" t="s">
        <v>236</v>
      </c>
      <c r="O225" s="58" t="s">
        <v>1050</v>
      </c>
      <c r="P225" s="7"/>
      <c r="Q225" s="124">
        <f>Q226</f>
        <v>0</v>
      </c>
      <c r="R225" s="124">
        <f>R226</f>
        <v>3176</v>
      </c>
      <c r="S225" s="124">
        <f>S226</f>
        <v>1985</v>
      </c>
    </row>
    <row r="226" spans="8:19" ht="18.75">
      <c r="H226" s="2" t="s">
        <v>299</v>
      </c>
      <c r="I226" s="263"/>
      <c r="J226" s="11">
        <v>3</v>
      </c>
      <c r="K226" s="11">
        <v>10</v>
      </c>
      <c r="L226" s="57" t="s">
        <v>215</v>
      </c>
      <c r="M226" s="58" t="s">
        <v>217</v>
      </c>
      <c r="N226" s="58" t="s">
        <v>236</v>
      </c>
      <c r="O226" s="58" t="s">
        <v>1050</v>
      </c>
      <c r="P226" s="7">
        <v>240</v>
      </c>
      <c r="Q226" s="124">
        <f>'приложение 5'!Q128</f>
        <v>0</v>
      </c>
      <c r="R226" s="124">
        <f>'приложение 5'!R128</f>
        <v>3176</v>
      </c>
      <c r="S226" s="124">
        <f>'приложение 5'!S128</f>
        <v>1985</v>
      </c>
    </row>
    <row r="227" spans="8:19" ht="19.5">
      <c r="H227" s="227" t="s">
        <v>214</v>
      </c>
      <c r="I227" s="297"/>
      <c r="J227" s="86">
        <v>3</v>
      </c>
      <c r="K227" s="86">
        <v>14</v>
      </c>
      <c r="L227" s="87"/>
      <c r="M227" s="88"/>
      <c r="N227" s="88"/>
      <c r="O227" s="88"/>
      <c r="P227" s="85"/>
      <c r="Q227" s="123">
        <f>Q228</f>
        <v>140</v>
      </c>
      <c r="R227" s="123">
        <f>R228</f>
        <v>223.3</v>
      </c>
      <c r="S227" s="123">
        <f>S228</f>
        <v>223.3</v>
      </c>
    </row>
    <row r="228" spans="8:19" ht="31.5">
      <c r="H228" s="2" t="s">
        <v>526</v>
      </c>
      <c r="I228" s="263"/>
      <c r="J228" s="11">
        <v>3</v>
      </c>
      <c r="K228" s="11">
        <v>14</v>
      </c>
      <c r="L228" s="57" t="s">
        <v>215</v>
      </c>
      <c r="M228" s="58" t="s">
        <v>220</v>
      </c>
      <c r="N228" s="58" t="s">
        <v>229</v>
      </c>
      <c r="O228" s="58" t="s">
        <v>261</v>
      </c>
      <c r="P228" s="7"/>
      <c r="Q228" s="124">
        <f>Q229+Q241+Q245</f>
        <v>140</v>
      </c>
      <c r="R228" s="124">
        <f>R229+R241+R245</f>
        <v>223.3</v>
      </c>
      <c r="S228" s="124">
        <f>S229+S241+S245</f>
        <v>223.3</v>
      </c>
    </row>
    <row r="229" spans="8:19" ht="18.75">
      <c r="H229" s="2" t="s">
        <v>268</v>
      </c>
      <c r="I229" s="281"/>
      <c r="J229" s="11">
        <v>3</v>
      </c>
      <c r="K229" s="11">
        <v>14</v>
      </c>
      <c r="L229" s="57" t="s">
        <v>215</v>
      </c>
      <c r="M229" s="58" t="s">
        <v>222</v>
      </c>
      <c r="N229" s="58" t="s">
        <v>229</v>
      </c>
      <c r="O229" s="58" t="s">
        <v>261</v>
      </c>
      <c r="P229" s="7"/>
      <c r="Q229" s="124">
        <f>Q230+Q233+Q238</f>
        <v>120</v>
      </c>
      <c r="R229" s="124">
        <f>R230+R233+R238</f>
        <v>203.3</v>
      </c>
      <c r="S229" s="124">
        <f>S230+S233+S238</f>
        <v>203.3</v>
      </c>
    </row>
    <row r="230" spans="8:19" ht="31.5">
      <c r="H230" s="2" t="s">
        <v>529</v>
      </c>
      <c r="I230" s="281"/>
      <c r="J230" s="11">
        <v>3</v>
      </c>
      <c r="K230" s="11">
        <v>14</v>
      </c>
      <c r="L230" s="57" t="s">
        <v>215</v>
      </c>
      <c r="M230" s="58" t="s">
        <v>222</v>
      </c>
      <c r="N230" s="58" t="s">
        <v>221</v>
      </c>
      <c r="O230" s="58" t="s">
        <v>261</v>
      </c>
      <c r="P230" s="7"/>
      <c r="Q230" s="124">
        <f aca="true" t="shared" si="17" ref="Q230:S231">Q231</f>
        <v>10</v>
      </c>
      <c r="R230" s="124">
        <f t="shared" si="17"/>
        <v>10</v>
      </c>
      <c r="S230" s="124">
        <f t="shared" si="17"/>
        <v>10</v>
      </c>
    </row>
    <row r="231" spans="8:19" ht="18.75">
      <c r="H231" s="2" t="s">
        <v>530</v>
      </c>
      <c r="I231" s="281"/>
      <c r="J231" s="11">
        <v>3</v>
      </c>
      <c r="K231" s="11">
        <v>14</v>
      </c>
      <c r="L231" s="57" t="s">
        <v>215</v>
      </c>
      <c r="M231" s="58" t="s">
        <v>222</v>
      </c>
      <c r="N231" s="58" t="s">
        <v>221</v>
      </c>
      <c r="O231" s="58" t="s">
        <v>495</v>
      </c>
      <c r="P231" s="7"/>
      <c r="Q231" s="124">
        <f t="shared" si="17"/>
        <v>10</v>
      </c>
      <c r="R231" s="124">
        <f t="shared" si="17"/>
        <v>10</v>
      </c>
      <c r="S231" s="124">
        <f t="shared" si="17"/>
        <v>10</v>
      </c>
    </row>
    <row r="232" spans="8:19" ht="18.75">
      <c r="H232" s="2" t="s">
        <v>299</v>
      </c>
      <c r="I232" s="263"/>
      <c r="J232" s="11">
        <v>3</v>
      </c>
      <c r="K232" s="11">
        <v>14</v>
      </c>
      <c r="L232" s="57" t="s">
        <v>215</v>
      </c>
      <c r="M232" s="58" t="s">
        <v>222</v>
      </c>
      <c r="N232" s="58" t="s">
        <v>221</v>
      </c>
      <c r="O232" s="58" t="s">
        <v>495</v>
      </c>
      <c r="P232" s="7">
        <v>240</v>
      </c>
      <c r="Q232" s="124">
        <f>'приложение 5'!Q134</f>
        <v>10</v>
      </c>
      <c r="R232" s="124">
        <f>'приложение 5'!R134</f>
        <v>10</v>
      </c>
      <c r="S232" s="124">
        <f>'приложение 5'!S134</f>
        <v>10</v>
      </c>
    </row>
    <row r="233" spans="8:19" ht="31.5">
      <c r="H233" s="2" t="s">
        <v>531</v>
      </c>
      <c r="I233" s="281"/>
      <c r="J233" s="11">
        <v>3</v>
      </c>
      <c r="K233" s="11">
        <v>14</v>
      </c>
      <c r="L233" s="57" t="s">
        <v>215</v>
      </c>
      <c r="M233" s="58" t="s">
        <v>222</v>
      </c>
      <c r="N233" s="58" t="s">
        <v>236</v>
      </c>
      <c r="O233" s="58" t="s">
        <v>261</v>
      </c>
      <c r="P233" s="7"/>
      <c r="Q233" s="124">
        <f>Q234+Q236</f>
        <v>105</v>
      </c>
      <c r="R233" s="124">
        <f>R234+R236</f>
        <v>188.3</v>
      </c>
      <c r="S233" s="124">
        <f>S234+S236</f>
        <v>188.3</v>
      </c>
    </row>
    <row r="234" spans="8:19" ht="18.75">
      <c r="H234" s="2" t="s">
        <v>435</v>
      </c>
      <c r="I234" s="281"/>
      <c r="J234" s="11">
        <v>3</v>
      </c>
      <c r="K234" s="11">
        <v>14</v>
      </c>
      <c r="L234" s="57" t="s">
        <v>215</v>
      </c>
      <c r="M234" s="58" t="s">
        <v>222</v>
      </c>
      <c r="N234" s="58" t="s">
        <v>236</v>
      </c>
      <c r="O234" s="58" t="s">
        <v>434</v>
      </c>
      <c r="P234" s="7"/>
      <c r="Q234" s="124">
        <f>Q235</f>
        <v>15</v>
      </c>
      <c r="R234" s="124">
        <f>R235</f>
        <v>15</v>
      </c>
      <c r="S234" s="124">
        <f>S235</f>
        <v>15</v>
      </c>
    </row>
    <row r="235" spans="8:19" ht="18.75">
      <c r="H235" s="2" t="s">
        <v>299</v>
      </c>
      <c r="I235" s="263"/>
      <c r="J235" s="11">
        <v>3</v>
      </c>
      <c r="K235" s="11">
        <v>14</v>
      </c>
      <c r="L235" s="57" t="s">
        <v>215</v>
      </c>
      <c r="M235" s="58" t="s">
        <v>222</v>
      </c>
      <c r="N235" s="58" t="s">
        <v>236</v>
      </c>
      <c r="O235" s="58" t="s">
        <v>434</v>
      </c>
      <c r="P235" s="7">
        <v>240</v>
      </c>
      <c r="Q235" s="124">
        <f>'приложение 5'!Q137</f>
        <v>15</v>
      </c>
      <c r="R235" s="124">
        <f>'приложение 5'!R137</f>
        <v>15</v>
      </c>
      <c r="S235" s="124">
        <f>'приложение 5'!S137</f>
        <v>15</v>
      </c>
    </row>
    <row r="236" spans="8:19" ht="18.75">
      <c r="H236" s="2" t="s">
        <v>297</v>
      </c>
      <c r="I236" s="281"/>
      <c r="J236" s="11">
        <v>3</v>
      </c>
      <c r="K236" s="11">
        <v>14</v>
      </c>
      <c r="L236" s="57" t="s">
        <v>215</v>
      </c>
      <c r="M236" s="58" t="s">
        <v>222</v>
      </c>
      <c r="N236" s="58" t="s">
        <v>236</v>
      </c>
      <c r="O236" s="58" t="s">
        <v>67</v>
      </c>
      <c r="P236" s="7"/>
      <c r="Q236" s="124">
        <f>Q237</f>
        <v>90</v>
      </c>
      <c r="R236" s="124">
        <f>R237</f>
        <v>173.3</v>
      </c>
      <c r="S236" s="124">
        <f>S237</f>
        <v>173.3</v>
      </c>
    </row>
    <row r="237" spans="8:19" ht="18.75">
      <c r="H237" s="2" t="s">
        <v>299</v>
      </c>
      <c r="I237" s="263"/>
      <c r="J237" s="11">
        <v>3</v>
      </c>
      <c r="K237" s="11">
        <v>14</v>
      </c>
      <c r="L237" s="57" t="s">
        <v>215</v>
      </c>
      <c r="M237" s="58" t="s">
        <v>222</v>
      </c>
      <c r="N237" s="58" t="s">
        <v>236</v>
      </c>
      <c r="O237" s="58" t="s">
        <v>67</v>
      </c>
      <c r="P237" s="7">
        <v>240</v>
      </c>
      <c r="Q237" s="124">
        <f>'приложение 5'!Q139</f>
        <v>90</v>
      </c>
      <c r="R237" s="124">
        <f>'приложение 5'!R139</f>
        <v>173.3</v>
      </c>
      <c r="S237" s="124">
        <f>'приложение 5'!S139</f>
        <v>173.3</v>
      </c>
    </row>
    <row r="238" spans="8:19" ht="31.5">
      <c r="H238" s="2" t="s">
        <v>532</v>
      </c>
      <c r="I238" s="263"/>
      <c r="J238" s="11">
        <v>3</v>
      </c>
      <c r="K238" s="11">
        <v>14</v>
      </c>
      <c r="L238" s="57" t="s">
        <v>215</v>
      </c>
      <c r="M238" s="58" t="s">
        <v>222</v>
      </c>
      <c r="N238" s="58" t="s">
        <v>237</v>
      </c>
      <c r="O238" s="58" t="s">
        <v>261</v>
      </c>
      <c r="P238" s="7"/>
      <c r="Q238" s="124">
        <f aca="true" t="shared" si="18" ref="Q238:S239">Q239</f>
        <v>5</v>
      </c>
      <c r="R238" s="124">
        <f t="shared" si="18"/>
        <v>5</v>
      </c>
      <c r="S238" s="124">
        <f t="shared" si="18"/>
        <v>5</v>
      </c>
    </row>
    <row r="239" spans="8:19" ht="18.75">
      <c r="H239" s="2" t="s">
        <v>464</v>
      </c>
      <c r="I239" s="281"/>
      <c r="J239" s="11">
        <v>3</v>
      </c>
      <c r="K239" s="11">
        <v>14</v>
      </c>
      <c r="L239" s="57" t="s">
        <v>215</v>
      </c>
      <c r="M239" s="58" t="s">
        <v>222</v>
      </c>
      <c r="N239" s="58" t="s">
        <v>237</v>
      </c>
      <c r="O239" s="58" t="s">
        <v>434</v>
      </c>
      <c r="P239" s="7"/>
      <c r="Q239" s="124">
        <f t="shared" si="18"/>
        <v>5</v>
      </c>
      <c r="R239" s="124">
        <f t="shared" si="18"/>
        <v>5</v>
      </c>
      <c r="S239" s="124">
        <f t="shared" si="18"/>
        <v>5</v>
      </c>
    </row>
    <row r="240" spans="8:19" ht="18.75">
      <c r="H240" s="2" t="s">
        <v>299</v>
      </c>
      <c r="I240" s="263"/>
      <c r="J240" s="11">
        <v>3</v>
      </c>
      <c r="K240" s="11">
        <v>14</v>
      </c>
      <c r="L240" s="57" t="s">
        <v>215</v>
      </c>
      <c r="M240" s="58" t="s">
        <v>222</v>
      </c>
      <c r="N240" s="58" t="s">
        <v>237</v>
      </c>
      <c r="O240" s="58" t="s">
        <v>434</v>
      </c>
      <c r="P240" s="7">
        <v>240</v>
      </c>
      <c r="Q240" s="124">
        <f>'приложение 5'!Q142</f>
        <v>5</v>
      </c>
      <c r="R240" s="124">
        <f>'приложение 5'!R142</f>
        <v>5</v>
      </c>
      <c r="S240" s="124">
        <f>'приложение 5'!S142</f>
        <v>5</v>
      </c>
    </row>
    <row r="241" spans="8:19" ht="18.75" hidden="1">
      <c r="H241" s="2" t="s">
        <v>391</v>
      </c>
      <c r="I241" s="281"/>
      <c r="J241" s="11">
        <v>3</v>
      </c>
      <c r="K241" s="11">
        <v>14</v>
      </c>
      <c r="L241" s="57" t="s">
        <v>215</v>
      </c>
      <c r="M241" s="58" t="s">
        <v>216</v>
      </c>
      <c r="N241" s="58" t="s">
        <v>229</v>
      </c>
      <c r="O241" s="58" t="s">
        <v>261</v>
      </c>
      <c r="P241" s="7"/>
      <c r="Q241" s="124">
        <f>Q242</f>
        <v>0</v>
      </c>
      <c r="R241" s="124">
        <f aca="true" t="shared" si="19" ref="R241:S243">R242</f>
        <v>0</v>
      </c>
      <c r="S241" s="124">
        <f t="shared" si="19"/>
        <v>0</v>
      </c>
    </row>
    <row r="242" spans="8:19" ht="31.5" hidden="1">
      <c r="H242" s="2" t="s">
        <v>392</v>
      </c>
      <c r="I242" s="263"/>
      <c r="J242" s="11">
        <v>3</v>
      </c>
      <c r="K242" s="11">
        <v>14</v>
      </c>
      <c r="L242" s="57" t="s">
        <v>215</v>
      </c>
      <c r="M242" s="58" t="s">
        <v>216</v>
      </c>
      <c r="N242" s="58" t="s">
        <v>221</v>
      </c>
      <c r="O242" s="58" t="s">
        <v>261</v>
      </c>
      <c r="P242" s="7"/>
      <c r="Q242" s="124">
        <f>Q243</f>
        <v>0</v>
      </c>
      <c r="R242" s="124">
        <f t="shared" si="19"/>
        <v>0</v>
      </c>
      <c r="S242" s="124">
        <f t="shared" si="19"/>
        <v>0</v>
      </c>
    </row>
    <row r="243" spans="8:19" ht="47.25" hidden="1">
      <c r="H243" s="2" t="s">
        <v>393</v>
      </c>
      <c r="I243" s="263"/>
      <c r="J243" s="11">
        <v>3</v>
      </c>
      <c r="K243" s="11">
        <v>14</v>
      </c>
      <c r="L243" s="57" t="s">
        <v>215</v>
      </c>
      <c r="M243" s="58" t="s">
        <v>216</v>
      </c>
      <c r="N243" s="58" t="s">
        <v>221</v>
      </c>
      <c r="O243" s="58" t="s">
        <v>341</v>
      </c>
      <c r="P243" s="7"/>
      <c r="Q243" s="124">
        <f>Q244</f>
        <v>0</v>
      </c>
      <c r="R243" s="124">
        <f t="shared" si="19"/>
        <v>0</v>
      </c>
      <c r="S243" s="124">
        <f t="shared" si="19"/>
        <v>0</v>
      </c>
    </row>
    <row r="244" spans="8:19" ht="18.75" hidden="1">
      <c r="H244" s="2" t="s">
        <v>299</v>
      </c>
      <c r="I244" s="263"/>
      <c r="J244" s="11">
        <v>3</v>
      </c>
      <c r="K244" s="11">
        <v>14</v>
      </c>
      <c r="L244" s="57" t="s">
        <v>215</v>
      </c>
      <c r="M244" s="58" t="s">
        <v>216</v>
      </c>
      <c r="N244" s="58" t="s">
        <v>221</v>
      </c>
      <c r="O244" s="58" t="s">
        <v>341</v>
      </c>
      <c r="P244" s="7">
        <v>240</v>
      </c>
      <c r="Q244" s="124">
        <f>'приложение 5'!Q146</f>
        <v>0</v>
      </c>
      <c r="R244" s="124">
        <f>'приложение 5'!R146</f>
        <v>0</v>
      </c>
      <c r="S244" s="124">
        <f>'приложение 5'!S146</f>
        <v>0</v>
      </c>
    </row>
    <row r="245" spans="8:19" ht="31.5">
      <c r="H245" s="2" t="s">
        <v>390</v>
      </c>
      <c r="I245" s="263"/>
      <c r="J245" s="11">
        <v>3</v>
      </c>
      <c r="K245" s="11">
        <v>14</v>
      </c>
      <c r="L245" s="57" t="s">
        <v>215</v>
      </c>
      <c r="M245" s="58" t="s">
        <v>368</v>
      </c>
      <c r="N245" s="58" t="s">
        <v>229</v>
      </c>
      <c r="O245" s="58" t="s">
        <v>261</v>
      </c>
      <c r="P245" s="7"/>
      <c r="Q245" s="124">
        <f>Q246+Q249</f>
        <v>20</v>
      </c>
      <c r="R245" s="124">
        <f>R246+R249</f>
        <v>20</v>
      </c>
      <c r="S245" s="124">
        <f>S246+S249</f>
        <v>20</v>
      </c>
    </row>
    <row r="246" spans="8:19" ht="31.5">
      <c r="H246" s="2" t="s">
        <v>389</v>
      </c>
      <c r="I246" s="281"/>
      <c r="J246" s="11">
        <v>3</v>
      </c>
      <c r="K246" s="11">
        <v>14</v>
      </c>
      <c r="L246" s="57" t="s">
        <v>215</v>
      </c>
      <c r="M246" s="58" t="s">
        <v>368</v>
      </c>
      <c r="N246" s="58" t="s">
        <v>221</v>
      </c>
      <c r="O246" s="58" t="s">
        <v>261</v>
      </c>
      <c r="P246" s="7"/>
      <c r="Q246" s="124">
        <f aca="true" t="shared" si="20" ref="Q246:S247">Q247</f>
        <v>10</v>
      </c>
      <c r="R246" s="124">
        <f t="shared" si="20"/>
        <v>10</v>
      </c>
      <c r="S246" s="124">
        <f t="shared" si="20"/>
        <v>10</v>
      </c>
    </row>
    <row r="247" spans="8:19" ht="18.75">
      <c r="H247" s="2" t="s">
        <v>388</v>
      </c>
      <c r="I247" s="263"/>
      <c r="J247" s="11">
        <v>3</v>
      </c>
      <c r="K247" s="11">
        <v>14</v>
      </c>
      <c r="L247" s="57" t="s">
        <v>215</v>
      </c>
      <c r="M247" s="58" t="s">
        <v>368</v>
      </c>
      <c r="N247" s="58" t="s">
        <v>221</v>
      </c>
      <c r="O247" s="58" t="s">
        <v>434</v>
      </c>
      <c r="P247" s="7"/>
      <c r="Q247" s="124">
        <f t="shared" si="20"/>
        <v>10</v>
      </c>
      <c r="R247" s="124">
        <f t="shared" si="20"/>
        <v>10</v>
      </c>
      <c r="S247" s="124">
        <f t="shared" si="20"/>
        <v>10</v>
      </c>
    </row>
    <row r="248" spans="8:19" ht="18.75">
      <c r="H248" s="2" t="s">
        <v>299</v>
      </c>
      <c r="I248" s="263"/>
      <c r="J248" s="11">
        <v>3</v>
      </c>
      <c r="K248" s="11">
        <v>14</v>
      </c>
      <c r="L248" s="57" t="s">
        <v>215</v>
      </c>
      <c r="M248" s="58" t="s">
        <v>368</v>
      </c>
      <c r="N248" s="58" t="s">
        <v>221</v>
      </c>
      <c r="O248" s="58" t="s">
        <v>434</v>
      </c>
      <c r="P248" s="7">
        <v>240</v>
      </c>
      <c r="Q248" s="124">
        <f>'приложение 5'!Q150</f>
        <v>10</v>
      </c>
      <c r="R248" s="124">
        <f>'приложение 5'!R150</f>
        <v>10</v>
      </c>
      <c r="S248" s="124">
        <f>'приложение 5'!S150</f>
        <v>10</v>
      </c>
    </row>
    <row r="249" spans="8:19" ht="31.5">
      <c r="H249" s="2" t="s">
        <v>533</v>
      </c>
      <c r="I249" s="281"/>
      <c r="J249" s="11">
        <v>3</v>
      </c>
      <c r="K249" s="11">
        <v>14</v>
      </c>
      <c r="L249" s="57" t="s">
        <v>215</v>
      </c>
      <c r="M249" s="58" t="s">
        <v>368</v>
      </c>
      <c r="N249" s="58" t="s">
        <v>232</v>
      </c>
      <c r="O249" s="58" t="s">
        <v>261</v>
      </c>
      <c r="P249" s="7"/>
      <c r="Q249" s="124">
        <f aca="true" t="shared" si="21" ref="Q249:S250">Q250</f>
        <v>10</v>
      </c>
      <c r="R249" s="124">
        <f t="shared" si="21"/>
        <v>10</v>
      </c>
      <c r="S249" s="124">
        <f t="shared" si="21"/>
        <v>10</v>
      </c>
    </row>
    <row r="250" spans="8:19" ht="18.75">
      <c r="H250" s="2" t="s">
        <v>534</v>
      </c>
      <c r="I250" s="263"/>
      <c r="J250" s="11">
        <v>3</v>
      </c>
      <c r="K250" s="11">
        <v>14</v>
      </c>
      <c r="L250" s="57" t="s">
        <v>215</v>
      </c>
      <c r="M250" s="58" t="s">
        <v>368</v>
      </c>
      <c r="N250" s="58" t="s">
        <v>232</v>
      </c>
      <c r="O250" s="58" t="s">
        <v>434</v>
      </c>
      <c r="P250" s="7"/>
      <c r="Q250" s="124">
        <f t="shared" si="21"/>
        <v>10</v>
      </c>
      <c r="R250" s="124">
        <f t="shared" si="21"/>
        <v>10</v>
      </c>
      <c r="S250" s="124">
        <f t="shared" si="21"/>
        <v>10</v>
      </c>
    </row>
    <row r="251" spans="8:19" ht="18.75">
      <c r="H251" s="2" t="s">
        <v>299</v>
      </c>
      <c r="I251" s="263"/>
      <c r="J251" s="11">
        <v>3</v>
      </c>
      <c r="K251" s="11">
        <v>14</v>
      </c>
      <c r="L251" s="57" t="s">
        <v>215</v>
      </c>
      <c r="M251" s="58" t="s">
        <v>368</v>
      </c>
      <c r="N251" s="58" t="s">
        <v>232</v>
      </c>
      <c r="O251" s="58" t="s">
        <v>434</v>
      </c>
      <c r="P251" s="7">
        <v>240</v>
      </c>
      <c r="Q251" s="124">
        <f>'приложение 5'!Q153</f>
        <v>10</v>
      </c>
      <c r="R251" s="124">
        <f>'приложение 5'!R153</f>
        <v>10</v>
      </c>
      <c r="S251" s="124">
        <f>'приложение 5'!S153</f>
        <v>10</v>
      </c>
    </row>
    <row r="252" spans="8:19" ht="19.5">
      <c r="H252" s="227" t="s">
        <v>242</v>
      </c>
      <c r="I252" s="297"/>
      <c r="J252" s="86">
        <v>4</v>
      </c>
      <c r="K252" s="86" t="s">
        <v>262</v>
      </c>
      <c r="L252" s="87"/>
      <c r="M252" s="88"/>
      <c r="N252" s="88"/>
      <c r="O252" s="88"/>
      <c r="P252" s="85"/>
      <c r="Q252" s="123">
        <f>Q253+Q263+Q289</f>
        <v>173502.9</v>
      </c>
      <c r="R252" s="123">
        <f>R253+R263+R289</f>
        <v>33735.5</v>
      </c>
      <c r="S252" s="123">
        <f>S253+S263+S289</f>
        <v>35131.399999999994</v>
      </c>
    </row>
    <row r="253" spans="8:19" ht="19.5">
      <c r="H253" s="96" t="s">
        <v>68</v>
      </c>
      <c r="I253" s="338"/>
      <c r="J253" s="86">
        <v>4</v>
      </c>
      <c r="K253" s="86">
        <v>8</v>
      </c>
      <c r="L253" s="87"/>
      <c r="M253" s="88"/>
      <c r="N253" s="88"/>
      <c r="O253" s="88"/>
      <c r="P253" s="85"/>
      <c r="Q253" s="123">
        <f>Q254</f>
        <v>12514.3</v>
      </c>
      <c r="R253" s="123">
        <f>R254</f>
        <v>3626.7</v>
      </c>
      <c r="S253" s="123">
        <f>S254</f>
        <v>3626.7</v>
      </c>
    </row>
    <row r="254" spans="8:19" ht="31.5">
      <c r="H254" s="2" t="s">
        <v>522</v>
      </c>
      <c r="I254" s="263"/>
      <c r="J254" s="11">
        <v>4</v>
      </c>
      <c r="K254" s="11">
        <v>8</v>
      </c>
      <c r="L254" s="57" t="s">
        <v>494</v>
      </c>
      <c r="M254" s="58" t="s">
        <v>220</v>
      </c>
      <c r="N254" s="58" t="s">
        <v>229</v>
      </c>
      <c r="O254" s="58" t="s">
        <v>261</v>
      </c>
      <c r="P254" s="7"/>
      <c r="Q254" s="124">
        <f>Q258+Q255</f>
        <v>12514.3</v>
      </c>
      <c r="R254" s="124">
        <f>R258</f>
        <v>3626.7</v>
      </c>
      <c r="S254" s="124">
        <f>S258</f>
        <v>3626.7</v>
      </c>
    </row>
    <row r="255" spans="8:19" ht="31.5">
      <c r="H255" s="2" t="s">
        <v>899</v>
      </c>
      <c r="I255" s="263"/>
      <c r="J255" s="11">
        <v>4</v>
      </c>
      <c r="K255" s="11">
        <v>8</v>
      </c>
      <c r="L255" s="57" t="s">
        <v>494</v>
      </c>
      <c r="M255" s="58" t="s">
        <v>220</v>
      </c>
      <c r="N255" s="58" t="s">
        <v>236</v>
      </c>
      <c r="O255" s="58" t="s">
        <v>261</v>
      </c>
      <c r="P255" s="3"/>
      <c r="Q255" s="124">
        <f aca="true" t="shared" si="22" ref="Q255:S256">Q256</f>
        <v>4312</v>
      </c>
      <c r="R255" s="124">
        <f t="shared" si="22"/>
        <v>0</v>
      </c>
      <c r="S255" s="124">
        <f t="shared" si="22"/>
        <v>0</v>
      </c>
    </row>
    <row r="256" spans="8:19" ht="18.75">
      <c r="H256" s="2" t="s">
        <v>62</v>
      </c>
      <c r="I256" s="263"/>
      <c r="J256" s="11">
        <v>4</v>
      </c>
      <c r="K256" s="11">
        <v>8</v>
      </c>
      <c r="L256" s="57" t="s">
        <v>494</v>
      </c>
      <c r="M256" s="58" t="s">
        <v>220</v>
      </c>
      <c r="N256" s="58" t="s">
        <v>236</v>
      </c>
      <c r="O256" s="58" t="s">
        <v>63</v>
      </c>
      <c r="P256" s="3"/>
      <c r="Q256" s="124">
        <f t="shared" si="22"/>
        <v>4312</v>
      </c>
      <c r="R256" s="124">
        <f t="shared" si="22"/>
        <v>0</v>
      </c>
      <c r="S256" s="124">
        <f t="shared" si="22"/>
        <v>0</v>
      </c>
    </row>
    <row r="257" spans="8:19" ht="18.75">
      <c r="H257" s="2" t="s">
        <v>301</v>
      </c>
      <c r="I257" s="263"/>
      <c r="J257" s="11">
        <v>4</v>
      </c>
      <c r="K257" s="11">
        <v>8</v>
      </c>
      <c r="L257" s="57" t="s">
        <v>494</v>
      </c>
      <c r="M257" s="58" t="s">
        <v>220</v>
      </c>
      <c r="N257" s="58" t="s">
        <v>236</v>
      </c>
      <c r="O257" s="58" t="s">
        <v>63</v>
      </c>
      <c r="P257" s="3">
        <v>610</v>
      </c>
      <c r="Q257" s="124">
        <f>'приложение 5'!Q534</f>
        <v>4312</v>
      </c>
      <c r="R257" s="124">
        <f>'приложение 5'!R534</f>
        <v>0</v>
      </c>
      <c r="S257" s="124">
        <f>'приложение 5'!S534</f>
        <v>0</v>
      </c>
    </row>
    <row r="258" spans="8:19" ht="31.5">
      <c r="H258" s="2" t="s">
        <v>524</v>
      </c>
      <c r="I258" s="263"/>
      <c r="J258" s="11">
        <v>4</v>
      </c>
      <c r="K258" s="11">
        <v>8</v>
      </c>
      <c r="L258" s="57" t="s">
        <v>494</v>
      </c>
      <c r="M258" s="58" t="s">
        <v>220</v>
      </c>
      <c r="N258" s="58" t="s">
        <v>223</v>
      </c>
      <c r="O258" s="58" t="s">
        <v>261</v>
      </c>
      <c r="P258" s="7"/>
      <c r="Q258" s="124">
        <f>Q261+Q259</f>
        <v>8202.3</v>
      </c>
      <c r="R258" s="124">
        <f>R261+R259</f>
        <v>3626.7</v>
      </c>
      <c r="S258" s="124">
        <f>S261+S259</f>
        <v>3626.7</v>
      </c>
    </row>
    <row r="259" spans="8:19" ht="31.5">
      <c r="H259" s="2" t="s">
        <v>1010</v>
      </c>
      <c r="I259" s="263"/>
      <c r="J259" s="11">
        <v>4</v>
      </c>
      <c r="K259" s="11">
        <v>8</v>
      </c>
      <c r="L259" s="57" t="s">
        <v>494</v>
      </c>
      <c r="M259" s="58" t="s">
        <v>220</v>
      </c>
      <c r="N259" s="58" t="s">
        <v>223</v>
      </c>
      <c r="O259" s="58" t="s">
        <v>1009</v>
      </c>
      <c r="P259" s="7"/>
      <c r="Q259" s="124">
        <f>Q260</f>
        <v>3572</v>
      </c>
      <c r="R259" s="124">
        <f>R260</f>
        <v>0</v>
      </c>
      <c r="S259" s="124">
        <f>S260</f>
        <v>0</v>
      </c>
    </row>
    <row r="260" spans="8:19" ht="18.75">
      <c r="H260" s="2" t="s">
        <v>299</v>
      </c>
      <c r="I260" s="263"/>
      <c r="J260" s="11">
        <v>4</v>
      </c>
      <c r="K260" s="11">
        <v>8</v>
      </c>
      <c r="L260" s="57" t="s">
        <v>494</v>
      </c>
      <c r="M260" s="58" t="s">
        <v>220</v>
      </c>
      <c r="N260" s="58" t="s">
        <v>223</v>
      </c>
      <c r="O260" s="58" t="s">
        <v>1009</v>
      </c>
      <c r="P260" s="7">
        <v>244</v>
      </c>
      <c r="Q260" s="124">
        <f>'приложение 5'!Q159</f>
        <v>3572</v>
      </c>
      <c r="R260" s="124">
        <f>'приложение 5'!R159</f>
        <v>0</v>
      </c>
      <c r="S260" s="124">
        <f>'приложение 5'!S159</f>
        <v>0</v>
      </c>
    </row>
    <row r="261" spans="8:19" ht="31.5">
      <c r="H261" s="2" t="s">
        <v>451</v>
      </c>
      <c r="I261" s="263"/>
      <c r="J261" s="11">
        <v>4</v>
      </c>
      <c r="K261" s="11">
        <v>8</v>
      </c>
      <c r="L261" s="57" t="s">
        <v>494</v>
      </c>
      <c r="M261" s="58" t="s">
        <v>220</v>
      </c>
      <c r="N261" s="58" t="s">
        <v>223</v>
      </c>
      <c r="O261" s="58" t="s">
        <v>450</v>
      </c>
      <c r="P261" s="7"/>
      <c r="Q261" s="124">
        <f>Q262</f>
        <v>4630.3</v>
      </c>
      <c r="R261" s="124">
        <f>R262</f>
        <v>3626.7</v>
      </c>
      <c r="S261" s="124">
        <f>S262</f>
        <v>3626.7</v>
      </c>
    </row>
    <row r="262" spans="8:19" ht="18.75">
      <c r="H262" s="2" t="s">
        <v>299</v>
      </c>
      <c r="I262" s="263"/>
      <c r="J262" s="11">
        <v>4</v>
      </c>
      <c r="K262" s="11">
        <v>8</v>
      </c>
      <c r="L262" s="57" t="s">
        <v>494</v>
      </c>
      <c r="M262" s="58" t="s">
        <v>220</v>
      </c>
      <c r="N262" s="58" t="s">
        <v>223</v>
      </c>
      <c r="O262" s="58" t="s">
        <v>450</v>
      </c>
      <c r="P262" s="7">
        <v>240</v>
      </c>
      <c r="Q262" s="124">
        <f>'приложение 5'!Q161</f>
        <v>4630.3</v>
      </c>
      <c r="R262" s="124">
        <f>'приложение 5'!R161</f>
        <v>3626.7</v>
      </c>
      <c r="S262" s="124">
        <f>'приложение 5'!S161</f>
        <v>3626.7</v>
      </c>
    </row>
    <row r="263" spans="8:19" ht="19.5">
      <c r="H263" s="227" t="s">
        <v>58</v>
      </c>
      <c r="I263" s="297"/>
      <c r="J263" s="86">
        <v>4</v>
      </c>
      <c r="K263" s="86">
        <v>9</v>
      </c>
      <c r="L263" s="87"/>
      <c r="M263" s="88"/>
      <c r="N263" s="88"/>
      <c r="O263" s="88"/>
      <c r="P263" s="85"/>
      <c r="Q263" s="123">
        <f>Q264</f>
        <v>147460.6</v>
      </c>
      <c r="R263" s="123">
        <f>R264</f>
        <v>19875.8</v>
      </c>
      <c r="S263" s="123">
        <f>S264</f>
        <v>20743.8</v>
      </c>
    </row>
    <row r="264" spans="8:19" ht="31.5">
      <c r="H264" s="2" t="s">
        <v>535</v>
      </c>
      <c r="I264" s="263"/>
      <c r="J264" s="11">
        <v>4</v>
      </c>
      <c r="K264" s="11">
        <v>9</v>
      </c>
      <c r="L264" s="57" t="s">
        <v>218</v>
      </c>
      <c r="M264" s="58" t="s">
        <v>220</v>
      </c>
      <c r="N264" s="58" t="s">
        <v>229</v>
      </c>
      <c r="O264" s="58" t="s">
        <v>261</v>
      </c>
      <c r="P264" s="7"/>
      <c r="Q264" s="124">
        <f>Q265+Q273+Q277+Q280+Q270+Q283+Q286</f>
        <v>147460.6</v>
      </c>
      <c r="R264" s="124">
        <f>R265+R273+R277+R280+R270+R283+R286</f>
        <v>19875.8</v>
      </c>
      <c r="S264" s="124">
        <f>S265+S273+S277+S280+S270+S283+S286</f>
        <v>20743.8</v>
      </c>
    </row>
    <row r="265" spans="8:19" ht="18.75">
      <c r="H265" s="2" t="s">
        <v>274</v>
      </c>
      <c r="I265" s="263"/>
      <c r="J265" s="11">
        <v>4</v>
      </c>
      <c r="K265" s="11">
        <v>9</v>
      </c>
      <c r="L265" s="57" t="s">
        <v>218</v>
      </c>
      <c r="M265" s="58" t="s">
        <v>220</v>
      </c>
      <c r="N265" s="58" t="s">
        <v>221</v>
      </c>
      <c r="O265" s="58" t="s">
        <v>261</v>
      </c>
      <c r="P265" s="7"/>
      <c r="Q265" s="124">
        <f>Q266+Q268</f>
        <v>105816.3</v>
      </c>
      <c r="R265" s="124">
        <f aca="true" t="shared" si="23" ref="Q265:S266">R266</f>
        <v>0</v>
      </c>
      <c r="S265" s="124">
        <f t="shared" si="23"/>
        <v>0</v>
      </c>
    </row>
    <row r="266" spans="8:19" ht="18.75" hidden="1">
      <c r="H266" s="2" t="s">
        <v>536</v>
      </c>
      <c r="I266" s="263"/>
      <c r="J266" s="11">
        <v>4</v>
      </c>
      <c r="K266" s="11">
        <v>9</v>
      </c>
      <c r="L266" s="57" t="s">
        <v>218</v>
      </c>
      <c r="M266" s="58" t="s">
        <v>220</v>
      </c>
      <c r="N266" s="58" t="s">
        <v>221</v>
      </c>
      <c r="O266" s="58" t="s">
        <v>496</v>
      </c>
      <c r="P266" s="7"/>
      <c r="Q266" s="124">
        <f t="shared" si="23"/>
        <v>0</v>
      </c>
      <c r="R266" s="124">
        <f t="shared" si="23"/>
        <v>0</v>
      </c>
      <c r="S266" s="124">
        <f t="shared" si="23"/>
        <v>0</v>
      </c>
    </row>
    <row r="267" spans="8:19" ht="18.75" hidden="1">
      <c r="H267" s="2" t="s">
        <v>299</v>
      </c>
      <c r="I267" s="263"/>
      <c r="J267" s="11">
        <v>4</v>
      </c>
      <c r="K267" s="11">
        <v>9</v>
      </c>
      <c r="L267" s="57" t="s">
        <v>218</v>
      </c>
      <c r="M267" s="58" t="s">
        <v>220</v>
      </c>
      <c r="N267" s="58" t="s">
        <v>221</v>
      </c>
      <c r="O267" s="58" t="s">
        <v>496</v>
      </c>
      <c r="P267" s="7">
        <v>240</v>
      </c>
      <c r="Q267" s="124">
        <f>'приложение 5'!Q166</f>
        <v>0</v>
      </c>
      <c r="R267" s="124">
        <f>'приложение 5'!R166</f>
        <v>0</v>
      </c>
      <c r="S267" s="124">
        <f>'приложение 5'!S166</f>
        <v>0</v>
      </c>
    </row>
    <row r="268" spans="8:19" ht="31.5">
      <c r="H268" s="2" t="str">
        <f>'приложение 5'!H167</f>
        <v>Осуществление дорожной деятельности в отношении автомобильных дорог общего пользования местного значения</v>
      </c>
      <c r="I268" s="263">
        <f>'приложение 5'!I167</f>
        <v>668</v>
      </c>
      <c r="J268" s="11">
        <f>'приложение 5'!J167</f>
        <v>4</v>
      </c>
      <c r="K268" s="11">
        <f>'приложение 5'!K167</f>
        <v>9</v>
      </c>
      <c r="L268" s="57" t="str">
        <f>'приложение 5'!L167</f>
        <v>14</v>
      </c>
      <c r="M268" s="58" t="str">
        <f>'приложение 5'!M167</f>
        <v>0</v>
      </c>
      <c r="N268" s="58" t="str">
        <f>'приложение 5'!N167</f>
        <v>01</v>
      </c>
      <c r="O268" s="58" t="str">
        <f>'приложение 5'!O167</f>
        <v>S1350</v>
      </c>
      <c r="P268" s="3" t="s">
        <v>262</v>
      </c>
      <c r="Q268" s="126">
        <f>Q269</f>
        <v>105816.3</v>
      </c>
      <c r="R268" s="126">
        <f>'приложение 5'!R167</f>
        <v>0</v>
      </c>
      <c r="S268" s="126">
        <f>'приложение 5'!S167</f>
        <v>0</v>
      </c>
    </row>
    <row r="269" spans="8:19" ht="18.75">
      <c r="H269" s="2" t="str">
        <f>'приложение 5'!H168</f>
        <v>Иные закупки товаров, работ и услуг для обеспечения государственных (муниципальных) нужд</v>
      </c>
      <c r="I269" s="263">
        <f>'приложение 5'!I168</f>
        <v>668</v>
      </c>
      <c r="J269" s="11">
        <f>'приложение 5'!J168</f>
        <v>4</v>
      </c>
      <c r="K269" s="11">
        <f>'приложение 5'!K168</f>
        <v>9</v>
      </c>
      <c r="L269" s="57" t="str">
        <f>'приложение 5'!L168</f>
        <v>14</v>
      </c>
      <c r="M269" s="58" t="str">
        <f>'приложение 5'!M168</f>
        <v>0</v>
      </c>
      <c r="N269" s="58" t="str">
        <f>'приложение 5'!N168</f>
        <v>01</v>
      </c>
      <c r="O269" s="58" t="str">
        <f>'приложение 5'!O168</f>
        <v>S1350</v>
      </c>
      <c r="P269" s="3">
        <f>'приложение 5'!P168</f>
        <v>240</v>
      </c>
      <c r="Q269" s="126">
        <f>'приложение 5'!Q168+'приложение 5'!Q539</f>
        <v>105816.3</v>
      </c>
      <c r="R269" s="126">
        <f>'приложение 5'!R168+'приложение 5'!R539</f>
        <v>0</v>
      </c>
      <c r="S269" s="126">
        <f>'приложение 5'!S168+'приложение 5'!S539</f>
        <v>0</v>
      </c>
    </row>
    <row r="270" spans="8:19" ht="31.5">
      <c r="H270" s="422" t="s">
        <v>1106</v>
      </c>
      <c r="I270" s="263"/>
      <c r="J270" s="4">
        <v>4</v>
      </c>
      <c r="K270" s="11">
        <v>9</v>
      </c>
      <c r="L270" s="11">
        <v>14</v>
      </c>
      <c r="M270" s="58" t="s">
        <v>220</v>
      </c>
      <c r="N270" s="58" t="s">
        <v>236</v>
      </c>
      <c r="O270" s="58" t="s">
        <v>261</v>
      </c>
      <c r="P270" s="3"/>
      <c r="Q270" s="126">
        <f aca="true" t="shared" si="24" ref="Q270:S271">Q271</f>
        <v>100</v>
      </c>
      <c r="R270" s="126">
        <f t="shared" si="24"/>
        <v>0</v>
      </c>
      <c r="S270" s="126">
        <f t="shared" si="24"/>
        <v>0</v>
      </c>
    </row>
    <row r="271" spans="8:19" ht="18.75">
      <c r="H271" s="108" t="s">
        <v>320</v>
      </c>
      <c r="I271" s="339"/>
      <c r="J271" s="4">
        <v>4</v>
      </c>
      <c r="K271" s="11">
        <v>9</v>
      </c>
      <c r="L271" s="11">
        <v>14</v>
      </c>
      <c r="M271" s="58" t="s">
        <v>220</v>
      </c>
      <c r="N271" s="58" t="s">
        <v>236</v>
      </c>
      <c r="O271" s="58" t="s">
        <v>496</v>
      </c>
      <c r="P271" s="3"/>
      <c r="Q271" s="126">
        <f t="shared" si="24"/>
        <v>100</v>
      </c>
      <c r="R271" s="126">
        <f t="shared" si="24"/>
        <v>0</v>
      </c>
      <c r="S271" s="126">
        <f t="shared" si="24"/>
        <v>0</v>
      </c>
    </row>
    <row r="272" spans="8:19" ht="18.75">
      <c r="H272" s="2" t="s">
        <v>299</v>
      </c>
      <c r="I272" s="265"/>
      <c r="J272" s="4">
        <v>4</v>
      </c>
      <c r="K272" s="11">
        <v>9</v>
      </c>
      <c r="L272" s="11">
        <v>14</v>
      </c>
      <c r="M272" s="58" t="s">
        <v>220</v>
      </c>
      <c r="N272" s="58" t="s">
        <v>236</v>
      </c>
      <c r="O272" s="58" t="s">
        <v>496</v>
      </c>
      <c r="P272" s="3">
        <v>240</v>
      </c>
      <c r="Q272" s="126">
        <f>'приложение 5'!Q719+'приложение 5'!Q171</f>
        <v>100</v>
      </c>
      <c r="R272" s="126">
        <f>'приложение 5'!R719+'приложение 5'!R171</f>
        <v>0</v>
      </c>
      <c r="S272" s="126">
        <f>'приложение 5'!S719+'приложение 5'!S171</f>
        <v>0</v>
      </c>
    </row>
    <row r="273" spans="8:19" ht="18.75">
      <c r="H273" s="2" t="s">
        <v>333</v>
      </c>
      <c r="I273" s="263"/>
      <c r="J273" s="11">
        <v>4</v>
      </c>
      <c r="K273" s="11">
        <v>9</v>
      </c>
      <c r="L273" s="57" t="s">
        <v>218</v>
      </c>
      <c r="M273" s="58" t="s">
        <v>220</v>
      </c>
      <c r="N273" s="58" t="s">
        <v>237</v>
      </c>
      <c r="O273" s="58" t="s">
        <v>261</v>
      </c>
      <c r="P273" s="7"/>
      <c r="Q273" s="124">
        <f>Q274+Q276</f>
        <v>22149.6</v>
      </c>
      <c r="R273" s="124">
        <f aca="true" t="shared" si="25" ref="Q273:S274">R274</f>
        <v>18663.8</v>
      </c>
      <c r="S273" s="124">
        <f t="shared" si="25"/>
        <v>19531.8</v>
      </c>
    </row>
    <row r="274" spans="8:19" ht="18.75">
      <c r="H274" s="2" t="s">
        <v>320</v>
      </c>
      <c r="I274" s="263"/>
      <c r="J274" s="11">
        <v>4</v>
      </c>
      <c r="K274" s="11">
        <v>9</v>
      </c>
      <c r="L274" s="57" t="s">
        <v>218</v>
      </c>
      <c r="M274" s="58" t="s">
        <v>220</v>
      </c>
      <c r="N274" s="58" t="s">
        <v>237</v>
      </c>
      <c r="O274" s="58" t="s">
        <v>496</v>
      </c>
      <c r="P274" s="7"/>
      <c r="Q274" s="124">
        <f t="shared" si="25"/>
        <v>14714.099999999999</v>
      </c>
      <c r="R274" s="124">
        <f t="shared" si="25"/>
        <v>18663.8</v>
      </c>
      <c r="S274" s="124">
        <f t="shared" si="25"/>
        <v>19531.8</v>
      </c>
    </row>
    <row r="275" spans="8:19" ht="18.75">
      <c r="H275" s="2" t="s">
        <v>299</v>
      </c>
      <c r="I275" s="263"/>
      <c r="J275" s="11">
        <v>4</v>
      </c>
      <c r="K275" s="11">
        <v>9</v>
      </c>
      <c r="L275" s="57" t="s">
        <v>218</v>
      </c>
      <c r="M275" s="58" t="s">
        <v>220</v>
      </c>
      <c r="N275" s="58" t="s">
        <v>237</v>
      </c>
      <c r="O275" s="58" t="s">
        <v>496</v>
      </c>
      <c r="P275" s="7">
        <v>240</v>
      </c>
      <c r="Q275" s="124">
        <f>'приложение 5'!Q542+'приложение 5'!Q945+'приложение 5'!Q1039+'приложение 5'!Q174</f>
        <v>14714.099999999999</v>
      </c>
      <c r="R275" s="124">
        <f>'приложение 5'!R542+'приложение 5'!R945+'приложение 5'!R1039+'приложение 5'!R174</f>
        <v>18663.8</v>
      </c>
      <c r="S275" s="124">
        <f>'приложение 5'!S542+'приложение 5'!S945+'приложение 5'!S1039+'приложение 5'!S174</f>
        <v>19531.8</v>
      </c>
    </row>
    <row r="276" spans="8:19" ht="18.75">
      <c r="H276" s="2" t="str">
        <f>H299</f>
        <v>Субсидии бюджетным учреждениям</v>
      </c>
      <c r="I276" s="263"/>
      <c r="J276" s="11">
        <v>4</v>
      </c>
      <c r="K276" s="11">
        <v>9</v>
      </c>
      <c r="L276" s="57" t="s">
        <v>218</v>
      </c>
      <c r="M276" s="58" t="s">
        <v>220</v>
      </c>
      <c r="N276" s="58" t="s">
        <v>237</v>
      </c>
      <c r="O276" s="58" t="s">
        <v>496</v>
      </c>
      <c r="P276" s="7">
        <v>610</v>
      </c>
      <c r="Q276" s="124">
        <f>'приложение 5'!Q543</f>
        <v>7435.5</v>
      </c>
      <c r="R276" s="124">
        <f>'приложение 5'!R543</f>
        <v>0</v>
      </c>
      <c r="S276" s="124">
        <f>'приложение 5'!S543</f>
        <v>0</v>
      </c>
    </row>
    <row r="277" spans="8:19" ht="31.5">
      <c r="H277" s="2" t="s">
        <v>465</v>
      </c>
      <c r="I277" s="263"/>
      <c r="J277" s="11">
        <v>4</v>
      </c>
      <c r="K277" s="11">
        <v>9</v>
      </c>
      <c r="L277" s="57" t="s">
        <v>218</v>
      </c>
      <c r="M277" s="58" t="s">
        <v>220</v>
      </c>
      <c r="N277" s="58" t="s">
        <v>232</v>
      </c>
      <c r="O277" s="58" t="s">
        <v>261</v>
      </c>
      <c r="P277" s="7"/>
      <c r="Q277" s="124">
        <f aca="true" t="shared" si="26" ref="Q277:S278">Q278</f>
        <v>912</v>
      </c>
      <c r="R277" s="124">
        <f t="shared" si="26"/>
        <v>912</v>
      </c>
      <c r="S277" s="124">
        <f t="shared" si="26"/>
        <v>912</v>
      </c>
    </row>
    <row r="278" spans="8:19" ht="31.5">
      <c r="H278" s="2" t="s">
        <v>16</v>
      </c>
      <c r="I278" s="263"/>
      <c r="J278" s="11">
        <v>4</v>
      </c>
      <c r="K278" s="11">
        <v>9</v>
      </c>
      <c r="L278" s="57" t="s">
        <v>218</v>
      </c>
      <c r="M278" s="58" t="s">
        <v>220</v>
      </c>
      <c r="N278" s="58" t="s">
        <v>232</v>
      </c>
      <c r="O278" s="58" t="s">
        <v>497</v>
      </c>
      <c r="P278" s="7"/>
      <c r="Q278" s="124">
        <f t="shared" si="26"/>
        <v>912</v>
      </c>
      <c r="R278" s="124">
        <f t="shared" si="26"/>
        <v>912</v>
      </c>
      <c r="S278" s="124">
        <f t="shared" si="26"/>
        <v>912</v>
      </c>
    </row>
    <row r="279" spans="8:19" ht="18.75">
      <c r="H279" s="2" t="s">
        <v>299</v>
      </c>
      <c r="I279" s="263"/>
      <c r="J279" s="11">
        <v>4</v>
      </c>
      <c r="K279" s="11">
        <v>9</v>
      </c>
      <c r="L279" s="57" t="s">
        <v>218</v>
      </c>
      <c r="M279" s="58" t="s">
        <v>220</v>
      </c>
      <c r="N279" s="58" t="s">
        <v>232</v>
      </c>
      <c r="O279" s="58" t="s">
        <v>497</v>
      </c>
      <c r="P279" s="7">
        <v>240</v>
      </c>
      <c r="Q279" s="124">
        <f>'приложение 5'!Q177+'приложение 5'!Q546</f>
        <v>912</v>
      </c>
      <c r="R279" s="124">
        <f>'приложение 5'!R177+'приложение 5'!R546</f>
        <v>912</v>
      </c>
      <c r="S279" s="124">
        <f>'приложение 5'!S177+'приложение 5'!S546</f>
        <v>912</v>
      </c>
    </row>
    <row r="280" spans="8:19" ht="47.25">
      <c r="H280" s="2" t="s">
        <v>466</v>
      </c>
      <c r="I280" s="263"/>
      <c r="J280" s="11">
        <v>4</v>
      </c>
      <c r="K280" s="11">
        <v>9</v>
      </c>
      <c r="L280" s="57" t="s">
        <v>218</v>
      </c>
      <c r="M280" s="58" t="s">
        <v>220</v>
      </c>
      <c r="N280" s="58" t="s">
        <v>223</v>
      </c>
      <c r="O280" s="58" t="s">
        <v>261</v>
      </c>
      <c r="P280" s="7"/>
      <c r="Q280" s="124">
        <f aca="true" t="shared" si="27" ref="Q280:S281">Q281</f>
        <v>186</v>
      </c>
      <c r="R280" s="124">
        <f t="shared" si="27"/>
        <v>0</v>
      </c>
      <c r="S280" s="124">
        <f t="shared" si="27"/>
        <v>0</v>
      </c>
    </row>
    <row r="281" spans="8:19" ht="18.75">
      <c r="H281" s="2" t="s">
        <v>320</v>
      </c>
      <c r="I281" s="263"/>
      <c r="J281" s="11">
        <v>4</v>
      </c>
      <c r="K281" s="11">
        <v>9</v>
      </c>
      <c r="L281" s="57" t="s">
        <v>218</v>
      </c>
      <c r="M281" s="58" t="s">
        <v>220</v>
      </c>
      <c r="N281" s="58" t="s">
        <v>223</v>
      </c>
      <c r="O281" s="58" t="s">
        <v>496</v>
      </c>
      <c r="P281" s="7"/>
      <c r="Q281" s="124">
        <f>Q282</f>
        <v>186</v>
      </c>
      <c r="R281" s="124">
        <f t="shared" si="27"/>
        <v>0</v>
      </c>
      <c r="S281" s="124">
        <f t="shared" si="27"/>
        <v>0</v>
      </c>
    </row>
    <row r="282" spans="8:19" ht="18.75">
      <c r="H282" s="2" t="s">
        <v>299</v>
      </c>
      <c r="I282" s="263"/>
      <c r="J282" s="11">
        <v>4</v>
      </c>
      <c r="K282" s="11">
        <v>9</v>
      </c>
      <c r="L282" s="57" t="s">
        <v>218</v>
      </c>
      <c r="M282" s="58" t="s">
        <v>220</v>
      </c>
      <c r="N282" s="58" t="s">
        <v>223</v>
      </c>
      <c r="O282" s="58" t="s">
        <v>496</v>
      </c>
      <c r="P282" s="7">
        <v>240</v>
      </c>
      <c r="Q282" s="124">
        <f>'приложение 5'!Q549+'приложение 5'!Q180</f>
        <v>186</v>
      </c>
      <c r="R282" s="124">
        <f>'приложение 5'!R549+'приложение 5'!R180</f>
        <v>0</v>
      </c>
      <c r="S282" s="124">
        <f>'приложение 5'!S549+'приложение 5'!S180</f>
        <v>0</v>
      </c>
    </row>
    <row r="283" spans="8:19" ht="18.75">
      <c r="H283" s="2" t="s">
        <v>988</v>
      </c>
      <c r="I283" s="263"/>
      <c r="J283" s="11">
        <v>4</v>
      </c>
      <c r="K283" s="11">
        <v>9</v>
      </c>
      <c r="L283" s="57" t="s">
        <v>218</v>
      </c>
      <c r="M283" s="58" t="s">
        <v>220</v>
      </c>
      <c r="N283" s="58" t="s">
        <v>239</v>
      </c>
      <c r="O283" s="58" t="s">
        <v>261</v>
      </c>
      <c r="P283" s="7"/>
      <c r="Q283" s="124">
        <f aca="true" t="shared" si="28" ref="Q283:S284">Q284</f>
        <v>200</v>
      </c>
      <c r="R283" s="124">
        <f t="shared" si="28"/>
        <v>300</v>
      </c>
      <c r="S283" s="124">
        <f t="shared" si="28"/>
        <v>300</v>
      </c>
    </row>
    <row r="284" spans="8:19" ht="18.75">
      <c r="H284" s="2" t="s">
        <v>320</v>
      </c>
      <c r="I284" s="263"/>
      <c r="J284" s="11">
        <v>4</v>
      </c>
      <c r="K284" s="11">
        <v>9</v>
      </c>
      <c r="L284" s="57" t="s">
        <v>218</v>
      </c>
      <c r="M284" s="58" t="s">
        <v>220</v>
      </c>
      <c r="N284" s="58" t="s">
        <v>239</v>
      </c>
      <c r="O284" s="58" t="s">
        <v>496</v>
      </c>
      <c r="P284" s="7"/>
      <c r="Q284" s="124">
        <f t="shared" si="28"/>
        <v>200</v>
      </c>
      <c r="R284" s="124">
        <f t="shared" si="28"/>
        <v>300</v>
      </c>
      <c r="S284" s="124">
        <f t="shared" si="28"/>
        <v>300</v>
      </c>
    </row>
    <row r="285" spans="8:19" ht="18.75">
      <c r="H285" s="2" t="s">
        <v>299</v>
      </c>
      <c r="I285" s="263"/>
      <c r="J285" s="11">
        <v>4</v>
      </c>
      <c r="K285" s="11">
        <v>9</v>
      </c>
      <c r="L285" s="57" t="s">
        <v>218</v>
      </c>
      <c r="M285" s="58" t="s">
        <v>220</v>
      </c>
      <c r="N285" s="58" t="s">
        <v>239</v>
      </c>
      <c r="O285" s="58" t="s">
        <v>496</v>
      </c>
      <c r="P285" s="7">
        <v>240</v>
      </c>
      <c r="Q285" s="124">
        <f>'приложение 5'!Q183</f>
        <v>200</v>
      </c>
      <c r="R285" s="124">
        <f>'приложение 5'!R183</f>
        <v>300</v>
      </c>
      <c r="S285" s="124">
        <f>'приложение 5'!S183</f>
        <v>300</v>
      </c>
    </row>
    <row r="286" spans="8:19" ht="18.75">
      <c r="H286" s="2" t="s">
        <v>1013</v>
      </c>
      <c r="I286" s="263"/>
      <c r="J286" s="11">
        <v>4</v>
      </c>
      <c r="K286" s="11">
        <v>9</v>
      </c>
      <c r="L286" s="57" t="s">
        <v>218</v>
      </c>
      <c r="M286" s="58" t="s">
        <v>220</v>
      </c>
      <c r="N286" s="58" t="s">
        <v>225</v>
      </c>
      <c r="O286" s="58" t="s">
        <v>261</v>
      </c>
      <c r="P286" s="7"/>
      <c r="Q286" s="124">
        <f aca="true" t="shared" si="29" ref="Q286:S287">Q287</f>
        <v>18096.7</v>
      </c>
      <c r="R286" s="124">
        <f t="shared" si="29"/>
        <v>0</v>
      </c>
      <c r="S286" s="124">
        <f t="shared" si="29"/>
        <v>0</v>
      </c>
    </row>
    <row r="287" spans="8:19" ht="18.75">
      <c r="H287" s="2" t="s">
        <v>1014</v>
      </c>
      <c r="I287" s="263"/>
      <c r="J287" s="11">
        <v>4</v>
      </c>
      <c r="K287" s="11">
        <v>9</v>
      </c>
      <c r="L287" s="57" t="s">
        <v>218</v>
      </c>
      <c r="M287" s="58" t="s">
        <v>220</v>
      </c>
      <c r="N287" s="58" t="s">
        <v>225</v>
      </c>
      <c r="O287" s="58" t="s">
        <v>1012</v>
      </c>
      <c r="P287" s="7"/>
      <c r="Q287" s="124">
        <f t="shared" si="29"/>
        <v>18096.7</v>
      </c>
      <c r="R287" s="124">
        <f t="shared" si="29"/>
        <v>0</v>
      </c>
      <c r="S287" s="124">
        <f t="shared" si="29"/>
        <v>0</v>
      </c>
    </row>
    <row r="288" spans="8:19" ht="18.75">
      <c r="H288" s="2" t="s">
        <v>299</v>
      </c>
      <c r="I288" s="263"/>
      <c r="J288" s="11">
        <v>4</v>
      </c>
      <c r="K288" s="11">
        <v>9</v>
      </c>
      <c r="L288" s="57" t="s">
        <v>218</v>
      </c>
      <c r="M288" s="58" t="s">
        <v>220</v>
      </c>
      <c r="N288" s="58" t="s">
        <v>225</v>
      </c>
      <c r="O288" s="58" t="s">
        <v>1012</v>
      </c>
      <c r="P288" s="7">
        <v>240</v>
      </c>
      <c r="Q288" s="124">
        <f>'приложение 5'!Q186</f>
        <v>18096.7</v>
      </c>
      <c r="R288" s="124">
        <f>'приложение 5'!R186</f>
        <v>0</v>
      </c>
      <c r="S288" s="124">
        <f>'приложение 5'!S186</f>
        <v>0</v>
      </c>
    </row>
    <row r="289" spans="8:19" ht="19.5">
      <c r="H289" s="225" t="s">
        <v>210</v>
      </c>
      <c r="I289" s="306"/>
      <c r="J289" s="86">
        <v>4</v>
      </c>
      <c r="K289" s="86">
        <v>12</v>
      </c>
      <c r="L289" s="87"/>
      <c r="M289" s="88"/>
      <c r="N289" s="88"/>
      <c r="O289" s="88"/>
      <c r="P289" s="85"/>
      <c r="Q289" s="123">
        <f>Q290+Q314</f>
        <v>13528</v>
      </c>
      <c r="R289" s="123">
        <f>R290+R314</f>
        <v>10233</v>
      </c>
      <c r="S289" s="123">
        <f>S290+S314</f>
        <v>10760.899999999998</v>
      </c>
    </row>
    <row r="290" spans="8:19" ht="31.5">
      <c r="H290" s="2" t="s">
        <v>537</v>
      </c>
      <c r="I290" s="263"/>
      <c r="J290" s="11">
        <v>4</v>
      </c>
      <c r="K290" s="11">
        <v>12</v>
      </c>
      <c r="L290" s="57" t="s">
        <v>223</v>
      </c>
      <c r="M290" s="58" t="s">
        <v>220</v>
      </c>
      <c r="N290" s="58" t="s">
        <v>229</v>
      </c>
      <c r="O290" s="58" t="s">
        <v>261</v>
      </c>
      <c r="P290" s="7"/>
      <c r="Q290" s="124">
        <f>Q291+Q297+Q300+Q303+Q306+Q311</f>
        <v>9451.5</v>
      </c>
      <c r="R290" s="124">
        <f>R291+R297+R300+R303+R306+R311</f>
        <v>8725.2</v>
      </c>
      <c r="S290" s="124">
        <f>S291+S297+S300+S303+S306+S311</f>
        <v>9253.099999999999</v>
      </c>
    </row>
    <row r="291" spans="8:19" ht="31.5">
      <c r="H291" s="2" t="s">
        <v>538</v>
      </c>
      <c r="I291" s="263"/>
      <c r="J291" s="11">
        <v>4</v>
      </c>
      <c r="K291" s="11">
        <v>12</v>
      </c>
      <c r="L291" s="57" t="s">
        <v>223</v>
      </c>
      <c r="M291" s="58" t="s">
        <v>220</v>
      </c>
      <c r="N291" s="58" t="s">
        <v>221</v>
      </c>
      <c r="O291" s="58" t="s">
        <v>261</v>
      </c>
      <c r="P291" s="7"/>
      <c r="Q291" s="124">
        <f>Q292+Q295</f>
        <v>1552.6</v>
      </c>
      <c r="R291" s="124">
        <f>R292+R295</f>
        <v>200</v>
      </c>
      <c r="S291" s="124">
        <f>S292+S295</f>
        <v>200</v>
      </c>
    </row>
    <row r="292" spans="8:19" ht="18.75">
      <c r="H292" s="2" t="s">
        <v>8</v>
      </c>
      <c r="I292" s="263"/>
      <c r="J292" s="11">
        <v>4</v>
      </c>
      <c r="K292" s="11">
        <v>12</v>
      </c>
      <c r="L292" s="57" t="s">
        <v>223</v>
      </c>
      <c r="M292" s="58" t="s">
        <v>220</v>
      </c>
      <c r="N292" s="58" t="s">
        <v>221</v>
      </c>
      <c r="O292" s="58" t="s">
        <v>9</v>
      </c>
      <c r="P292" s="7"/>
      <c r="Q292" s="124">
        <f>Q294+Q293</f>
        <v>500</v>
      </c>
      <c r="R292" s="124">
        <f>R294+R293</f>
        <v>200</v>
      </c>
      <c r="S292" s="124">
        <f>S294+S293</f>
        <v>200</v>
      </c>
    </row>
    <row r="293" spans="8:19" ht="18.75">
      <c r="H293" s="2" t="s">
        <v>299</v>
      </c>
      <c r="I293" s="263"/>
      <c r="J293" s="11">
        <v>4</v>
      </c>
      <c r="K293" s="11">
        <v>12</v>
      </c>
      <c r="L293" s="57" t="s">
        <v>223</v>
      </c>
      <c r="M293" s="58" t="s">
        <v>220</v>
      </c>
      <c r="N293" s="58" t="s">
        <v>221</v>
      </c>
      <c r="O293" s="58" t="s">
        <v>9</v>
      </c>
      <c r="P293" s="3">
        <v>240</v>
      </c>
      <c r="Q293" s="124">
        <f>'приложение 5'!Q554</f>
        <v>180</v>
      </c>
      <c r="R293" s="124">
        <f>'приложение 5'!R554</f>
        <v>0</v>
      </c>
      <c r="S293" s="124">
        <f>'приложение 5'!S554</f>
        <v>0</v>
      </c>
    </row>
    <row r="294" spans="8:19" ht="18.75">
      <c r="H294" s="2" t="s">
        <v>301</v>
      </c>
      <c r="I294" s="263"/>
      <c r="J294" s="11">
        <v>4</v>
      </c>
      <c r="K294" s="11">
        <v>12</v>
      </c>
      <c r="L294" s="57" t="s">
        <v>223</v>
      </c>
      <c r="M294" s="58" t="s">
        <v>220</v>
      </c>
      <c r="N294" s="58" t="s">
        <v>221</v>
      </c>
      <c r="O294" s="58" t="s">
        <v>9</v>
      </c>
      <c r="P294" s="7">
        <v>610</v>
      </c>
      <c r="Q294" s="124">
        <f>'приложение 5'!Q191</f>
        <v>320</v>
      </c>
      <c r="R294" s="124">
        <f>'приложение 5'!R191</f>
        <v>200</v>
      </c>
      <c r="S294" s="124">
        <f>'приложение 5'!S191</f>
        <v>200</v>
      </c>
    </row>
    <row r="295" spans="8:19" ht="31.5">
      <c r="H295" s="2" t="s">
        <v>553</v>
      </c>
      <c r="I295" s="263"/>
      <c r="J295" s="11">
        <v>4</v>
      </c>
      <c r="K295" s="11">
        <v>12</v>
      </c>
      <c r="L295" s="57" t="s">
        <v>223</v>
      </c>
      <c r="M295" s="58" t="s">
        <v>220</v>
      </c>
      <c r="N295" s="58" t="s">
        <v>221</v>
      </c>
      <c r="O295" s="58" t="s">
        <v>499</v>
      </c>
      <c r="P295" s="7"/>
      <c r="Q295" s="124">
        <f>Q296</f>
        <v>1052.6</v>
      </c>
      <c r="R295" s="124">
        <f>R296</f>
        <v>0</v>
      </c>
      <c r="S295" s="124">
        <f>S296</f>
        <v>0</v>
      </c>
    </row>
    <row r="296" spans="8:19" ht="18.75">
      <c r="H296" s="2" t="s">
        <v>301</v>
      </c>
      <c r="I296" s="263"/>
      <c r="J296" s="11">
        <v>4</v>
      </c>
      <c r="K296" s="11">
        <v>12</v>
      </c>
      <c r="L296" s="57" t="s">
        <v>223</v>
      </c>
      <c r="M296" s="58" t="s">
        <v>220</v>
      </c>
      <c r="N296" s="58" t="s">
        <v>221</v>
      </c>
      <c r="O296" s="58" t="s">
        <v>499</v>
      </c>
      <c r="P296" s="7">
        <v>610</v>
      </c>
      <c r="Q296" s="124">
        <f>'приложение 5'!Q193</f>
        <v>1052.6</v>
      </c>
      <c r="R296" s="124">
        <f>'приложение 5'!R193</f>
        <v>0</v>
      </c>
      <c r="S296" s="124">
        <f>'приложение 5'!S193</f>
        <v>0</v>
      </c>
    </row>
    <row r="297" spans="8:19" ht="18.75">
      <c r="H297" s="2" t="s">
        <v>413</v>
      </c>
      <c r="I297" s="263"/>
      <c r="J297" s="11">
        <v>4</v>
      </c>
      <c r="K297" s="11">
        <v>12</v>
      </c>
      <c r="L297" s="57" t="s">
        <v>223</v>
      </c>
      <c r="M297" s="58" t="s">
        <v>220</v>
      </c>
      <c r="N297" s="58" t="s">
        <v>236</v>
      </c>
      <c r="O297" s="58" t="s">
        <v>261</v>
      </c>
      <c r="P297" s="7"/>
      <c r="Q297" s="124">
        <f aca="true" t="shared" si="30" ref="Q297:S298">Q298</f>
        <v>89.5</v>
      </c>
      <c r="R297" s="124">
        <f t="shared" si="30"/>
        <v>0</v>
      </c>
      <c r="S297" s="124">
        <f t="shared" si="30"/>
        <v>0</v>
      </c>
    </row>
    <row r="298" spans="8:19" ht="18.75">
      <c r="H298" s="2" t="s">
        <v>8</v>
      </c>
      <c r="I298" s="263"/>
      <c r="J298" s="11">
        <v>4</v>
      </c>
      <c r="K298" s="11">
        <v>12</v>
      </c>
      <c r="L298" s="57" t="s">
        <v>223</v>
      </c>
      <c r="M298" s="58" t="s">
        <v>220</v>
      </c>
      <c r="N298" s="58" t="s">
        <v>236</v>
      </c>
      <c r="O298" s="58" t="s">
        <v>9</v>
      </c>
      <c r="P298" s="7"/>
      <c r="Q298" s="124">
        <f t="shared" si="30"/>
        <v>89.5</v>
      </c>
      <c r="R298" s="124">
        <f t="shared" si="30"/>
        <v>0</v>
      </c>
      <c r="S298" s="124">
        <f t="shared" si="30"/>
        <v>0</v>
      </c>
    </row>
    <row r="299" spans="8:19" ht="18.75">
      <c r="H299" s="2" t="s">
        <v>301</v>
      </c>
      <c r="I299" s="263"/>
      <c r="J299" s="11">
        <v>4</v>
      </c>
      <c r="K299" s="11">
        <v>12</v>
      </c>
      <c r="L299" s="57" t="s">
        <v>223</v>
      </c>
      <c r="M299" s="58" t="s">
        <v>220</v>
      </c>
      <c r="N299" s="58" t="s">
        <v>236</v>
      </c>
      <c r="O299" s="58" t="s">
        <v>9</v>
      </c>
      <c r="P299" s="7">
        <v>610</v>
      </c>
      <c r="Q299" s="124">
        <f>'приложение 5'!Q196</f>
        <v>89.5</v>
      </c>
      <c r="R299" s="124">
        <f>'приложение 5'!R196</f>
        <v>0</v>
      </c>
      <c r="S299" s="124">
        <f>'приложение 5'!S196</f>
        <v>0</v>
      </c>
    </row>
    <row r="300" spans="8:19" ht="18.75" hidden="1">
      <c r="H300" s="2" t="s">
        <v>455</v>
      </c>
      <c r="I300" s="263"/>
      <c r="J300" s="11">
        <v>4</v>
      </c>
      <c r="K300" s="11">
        <v>12</v>
      </c>
      <c r="L300" s="57" t="s">
        <v>223</v>
      </c>
      <c r="M300" s="58" t="s">
        <v>220</v>
      </c>
      <c r="N300" s="58" t="s">
        <v>237</v>
      </c>
      <c r="O300" s="58" t="s">
        <v>261</v>
      </c>
      <c r="P300" s="7"/>
      <c r="Q300" s="124">
        <f aca="true" t="shared" si="31" ref="Q300:S301">Q301</f>
        <v>0</v>
      </c>
      <c r="R300" s="124">
        <f t="shared" si="31"/>
        <v>0</v>
      </c>
      <c r="S300" s="124">
        <f t="shared" si="31"/>
        <v>0</v>
      </c>
    </row>
    <row r="301" spans="8:19" ht="18.75" hidden="1">
      <c r="H301" s="2" t="s">
        <v>8</v>
      </c>
      <c r="I301" s="263"/>
      <c r="J301" s="11">
        <v>4</v>
      </c>
      <c r="K301" s="11">
        <v>12</v>
      </c>
      <c r="L301" s="57" t="s">
        <v>223</v>
      </c>
      <c r="M301" s="58" t="s">
        <v>220</v>
      </c>
      <c r="N301" s="58" t="s">
        <v>237</v>
      </c>
      <c r="O301" s="58" t="s">
        <v>9</v>
      </c>
      <c r="P301" s="7"/>
      <c r="Q301" s="124">
        <f t="shared" si="31"/>
        <v>0</v>
      </c>
      <c r="R301" s="124">
        <f t="shared" si="31"/>
        <v>0</v>
      </c>
      <c r="S301" s="124">
        <f t="shared" si="31"/>
        <v>0</v>
      </c>
    </row>
    <row r="302" spans="8:19" ht="18.75" hidden="1">
      <c r="H302" s="2" t="s">
        <v>301</v>
      </c>
      <c r="I302" s="263"/>
      <c r="J302" s="11">
        <v>4</v>
      </c>
      <c r="K302" s="11">
        <v>12</v>
      </c>
      <c r="L302" s="57" t="s">
        <v>223</v>
      </c>
      <c r="M302" s="58" t="s">
        <v>220</v>
      </c>
      <c r="N302" s="58" t="s">
        <v>237</v>
      </c>
      <c r="O302" s="58" t="s">
        <v>9</v>
      </c>
      <c r="P302" s="7">
        <v>610</v>
      </c>
      <c r="Q302" s="124">
        <f>'приложение 5'!Q199</f>
        <v>0</v>
      </c>
      <c r="R302" s="124">
        <f>'приложение 5'!R199</f>
        <v>0</v>
      </c>
      <c r="S302" s="124">
        <f>'приложение 5'!S199</f>
        <v>0</v>
      </c>
    </row>
    <row r="303" spans="8:19" ht="31.5" hidden="1">
      <c r="H303" s="2" t="s">
        <v>456</v>
      </c>
      <c r="I303" s="263"/>
      <c r="J303" s="11">
        <v>4</v>
      </c>
      <c r="K303" s="11">
        <v>12</v>
      </c>
      <c r="L303" s="57" t="s">
        <v>223</v>
      </c>
      <c r="M303" s="58" t="s">
        <v>220</v>
      </c>
      <c r="N303" s="58" t="s">
        <v>232</v>
      </c>
      <c r="O303" s="58" t="s">
        <v>261</v>
      </c>
      <c r="P303" s="7"/>
      <c r="Q303" s="124">
        <f aca="true" t="shared" si="32" ref="Q303:S304">Q304</f>
        <v>0</v>
      </c>
      <c r="R303" s="124">
        <f t="shared" si="32"/>
        <v>0</v>
      </c>
      <c r="S303" s="124">
        <f t="shared" si="32"/>
        <v>0</v>
      </c>
    </row>
    <row r="304" spans="8:19" ht="18.75" hidden="1">
      <c r="H304" s="2" t="s">
        <v>8</v>
      </c>
      <c r="I304" s="263"/>
      <c r="J304" s="11">
        <v>4</v>
      </c>
      <c r="K304" s="11">
        <v>12</v>
      </c>
      <c r="L304" s="57" t="s">
        <v>223</v>
      </c>
      <c r="M304" s="58" t="s">
        <v>220</v>
      </c>
      <c r="N304" s="58" t="s">
        <v>232</v>
      </c>
      <c r="O304" s="58" t="s">
        <v>9</v>
      </c>
      <c r="P304" s="7"/>
      <c r="Q304" s="124">
        <f t="shared" si="32"/>
        <v>0</v>
      </c>
      <c r="R304" s="124">
        <f t="shared" si="32"/>
        <v>0</v>
      </c>
      <c r="S304" s="124">
        <f t="shared" si="32"/>
        <v>0</v>
      </c>
    </row>
    <row r="305" spans="8:19" ht="18.75" hidden="1">
      <c r="H305" s="2" t="s">
        <v>301</v>
      </c>
      <c r="I305" s="263"/>
      <c r="J305" s="11">
        <v>4</v>
      </c>
      <c r="K305" s="11">
        <v>12</v>
      </c>
      <c r="L305" s="57" t="s">
        <v>223</v>
      </c>
      <c r="M305" s="58" t="s">
        <v>220</v>
      </c>
      <c r="N305" s="58" t="s">
        <v>232</v>
      </c>
      <c r="O305" s="58" t="s">
        <v>9</v>
      </c>
      <c r="P305" s="7">
        <v>610</v>
      </c>
      <c r="Q305" s="124">
        <f>'приложение 5'!Q202</f>
        <v>0</v>
      </c>
      <c r="R305" s="124">
        <f>'приложение 5'!R202</f>
        <v>0</v>
      </c>
      <c r="S305" s="124">
        <f>'приложение 5'!S202</f>
        <v>0</v>
      </c>
    </row>
    <row r="306" spans="8:19" ht="18.75">
      <c r="H306" s="2" t="s">
        <v>272</v>
      </c>
      <c r="I306" s="263"/>
      <c r="J306" s="11">
        <v>4</v>
      </c>
      <c r="K306" s="11">
        <v>12</v>
      </c>
      <c r="L306" s="57" t="s">
        <v>223</v>
      </c>
      <c r="M306" s="58" t="s">
        <v>220</v>
      </c>
      <c r="N306" s="58" t="s">
        <v>223</v>
      </c>
      <c r="O306" s="58" t="s">
        <v>261</v>
      </c>
      <c r="P306" s="7"/>
      <c r="Q306" s="124">
        <f>Q307+Q309</f>
        <v>7749.4</v>
      </c>
      <c r="R306" s="124">
        <f>R307+R309</f>
        <v>8525.2</v>
      </c>
      <c r="S306" s="124">
        <f>S307+S309</f>
        <v>9053.099999999999</v>
      </c>
    </row>
    <row r="307" spans="8:19" ht="18.75">
      <c r="H307" s="2" t="s">
        <v>8</v>
      </c>
      <c r="I307" s="263"/>
      <c r="J307" s="11">
        <v>4</v>
      </c>
      <c r="K307" s="11">
        <v>12</v>
      </c>
      <c r="L307" s="57" t="s">
        <v>223</v>
      </c>
      <c r="M307" s="58" t="s">
        <v>220</v>
      </c>
      <c r="N307" s="58" t="s">
        <v>223</v>
      </c>
      <c r="O307" s="58" t="s">
        <v>9</v>
      </c>
      <c r="P307" s="7"/>
      <c r="Q307" s="124">
        <f>Q308</f>
        <v>4765.7</v>
      </c>
      <c r="R307" s="124">
        <f>R308</f>
        <v>5174.1</v>
      </c>
      <c r="S307" s="124">
        <f>S308</f>
        <v>5295.9</v>
      </c>
    </row>
    <row r="308" spans="8:19" ht="18.75">
      <c r="H308" s="2" t="s">
        <v>301</v>
      </c>
      <c r="I308" s="263"/>
      <c r="J308" s="11">
        <v>4</v>
      </c>
      <c r="K308" s="11">
        <v>12</v>
      </c>
      <c r="L308" s="57" t="s">
        <v>223</v>
      </c>
      <c r="M308" s="58" t="s">
        <v>220</v>
      </c>
      <c r="N308" s="58" t="s">
        <v>223</v>
      </c>
      <c r="O308" s="58" t="s">
        <v>9</v>
      </c>
      <c r="P308" s="7">
        <v>610</v>
      </c>
      <c r="Q308" s="124">
        <f>'приложение 5'!Q205</f>
        <v>4765.7</v>
      </c>
      <c r="R308" s="124">
        <f>'приложение 5'!R205</f>
        <v>5174.1</v>
      </c>
      <c r="S308" s="124">
        <f>'приложение 5'!S205</f>
        <v>5295.9</v>
      </c>
    </row>
    <row r="309" spans="8:19" ht="31.5">
      <c r="H309" s="2" t="s">
        <v>374</v>
      </c>
      <c r="I309" s="281"/>
      <c r="J309" s="11">
        <v>4</v>
      </c>
      <c r="K309" s="11">
        <v>12</v>
      </c>
      <c r="L309" s="57" t="s">
        <v>223</v>
      </c>
      <c r="M309" s="58" t="s">
        <v>220</v>
      </c>
      <c r="N309" s="58" t="s">
        <v>223</v>
      </c>
      <c r="O309" s="58" t="s">
        <v>373</v>
      </c>
      <c r="P309" s="7"/>
      <c r="Q309" s="124">
        <f>Q310</f>
        <v>2983.7</v>
      </c>
      <c r="R309" s="124">
        <f>R310</f>
        <v>3351.1</v>
      </c>
      <c r="S309" s="124">
        <f>S310</f>
        <v>3757.2</v>
      </c>
    </row>
    <row r="310" spans="8:19" ht="18.75">
      <c r="H310" s="2" t="s">
        <v>301</v>
      </c>
      <c r="I310" s="263"/>
      <c r="J310" s="11">
        <v>4</v>
      </c>
      <c r="K310" s="11">
        <v>12</v>
      </c>
      <c r="L310" s="57" t="s">
        <v>223</v>
      </c>
      <c r="M310" s="58" t="s">
        <v>220</v>
      </c>
      <c r="N310" s="58" t="s">
        <v>223</v>
      </c>
      <c r="O310" s="58" t="s">
        <v>373</v>
      </c>
      <c r="P310" s="7">
        <v>610</v>
      </c>
      <c r="Q310" s="124">
        <f>'приложение 5'!Q207</f>
        <v>2983.7</v>
      </c>
      <c r="R310" s="124">
        <f>'приложение 5'!R207</f>
        <v>3351.1</v>
      </c>
      <c r="S310" s="124">
        <f>'приложение 5'!S207</f>
        <v>3757.2</v>
      </c>
    </row>
    <row r="311" spans="8:19" ht="31.5">
      <c r="H311" s="2" t="s">
        <v>25</v>
      </c>
      <c r="I311" s="281"/>
      <c r="J311" s="11">
        <v>4</v>
      </c>
      <c r="K311" s="11">
        <v>12</v>
      </c>
      <c r="L311" s="57" t="s">
        <v>223</v>
      </c>
      <c r="M311" s="58" t="s">
        <v>220</v>
      </c>
      <c r="N311" s="58" t="s">
        <v>239</v>
      </c>
      <c r="O311" s="58" t="s">
        <v>261</v>
      </c>
      <c r="P311" s="3"/>
      <c r="Q311" s="126">
        <f aca="true" t="shared" si="33" ref="Q311:S312">Q312</f>
        <v>60</v>
      </c>
      <c r="R311" s="126">
        <f t="shared" si="33"/>
        <v>0</v>
      </c>
      <c r="S311" s="126">
        <f t="shared" si="33"/>
        <v>0</v>
      </c>
    </row>
    <row r="312" spans="8:19" ht="18.75">
      <c r="H312" s="2" t="s">
        <v>8</v>
      </c>
      <c r="I312" s="263"/>
      <c r="J312" s="11">
        <v>4</v>
      </c>
      <c r="K312" s="11">
        <v>12</v>
      </c>
      <c r="L312" s="57" t="s">
        <v>223</v>
      </c>
      <c r="M312" s="58" t="s">
        <v>220</v>
      </c>
      <c r="N312" s="58" t="s">
        <v>239</v>
      </c>
      <c r="O312" s="58" t="s">
        <v>9</v>
      </c>
      <c r="P312" s="3"/>
      <c r="Q312" s="126">
        <f t="shared" si="33"/>
        <v>60</v>
      </c>
      <c r="R312" s="126">
        <f t="shared" si="33"/>
        <v>0</v>
      </c>
      <c r="S312" s="126">
        <f t="shared" si="33"/>
        <v>0</v>
      </c>
    </row>
    <row r="313" spans="8:19" ht="18.75">
      <c r="H313" s="2" t="s">
        <v>301</v>
      </c>
      <c r="I313" s="263"/>
      <c r="J313" s="11">
        <v>4</v>
      </c>
      <c r="K313" s="11">
        <v>12</v>
      </c>
      <c r="L313" s="57" t="s">
        <v>223</v>
      </c>
      <c r="M313" s="58" t="s">
        <v>220</v>
      </c>
      <c r="N313" s="58" t="s">
        <v>239</v>
      </c>
      <c r="O313" s="58" t="s">
        <v>9</v>
      </c>
      <c r="P313" s="3">
        <v>610</v>
      </c>
      <c r="Q313" s="126">
        <f>'приложение 5'!Q210</f>
        <v>60</v>
      </c>
      <c r="R313" s="126">
        <f>'приложение 5'!R210</f>
        <v>0</v>
      </c>
      <c r="S313" s="126">
        <f>'приложение 5'!S210</f>
        <v>0</v>
      </c>
    </row>
    <row r="314" spans="8:19" ht="31.5">
      <c r="H314" s="2" t="s">
        <v>539</v>
      </c>
      <c r="I314" s="281"/>
      <c r="J314" s="11">
        <v>4</v>
      </c>
      <c r="K314" s="11">
        <v>12</v>
      </c>
      <c r="L314" s="57" t="s">
        <v>243</v>
      </c>
      <c r="M314" s="58" t="s">
        <v>220</v>
      </c>
      <c r="N314" s="58" t="s">
        <v>229</v>
      </c>
      <c r="O314" s="58" t="s">
        <v>261</v>
      </c>
      <c r="P314" s="3"/>
      <c r="Q314" s="126">
        <f>Q315+Q325</f>
        <v>4076.5</v>
      </c>
      <c r="R314" s="126">
        <f>R315+R325</f>
        <v>1507.7999999999997</v>
      </c>
      <c r="S314" s="126">
        <f>S315+S325</f>
        <v>1507.7999999999997</v>
      </c>
    </row>
    <row r="315" spans="8:19" ht="31.5">
      <c r="H315" s="26" t="s">
        <v>820</v>
      </c>
      <c r="I315" s="135"/>
      <c r="J315" s="11">
        <v>4</v>
      </c>
      <c r="K315" s="11">
        <v>12</v>
      </c>
      <c r="L315" s="57" t="s">
        <v>243</v>
      </c>
      <c r="M315" s="58" t="s">
        <v>220</v>
      </c>
      <c r="N315" s="58" t="s">
        <v>221</v>
      </c>
      <c r="O315" s="58" t="s">
        <v>261</v>
      </c>
      <c r="P315" s="3"/>
      <c r="Q315" s="126">
        <f>Q316+Q321+Q323+Q319</f>
        <v>3996.5</v>
      </c>
      <c r="R315" s="126">
        <f>R316+R321+R323+R319</f>
        <v>1427.7999999999997</v>
      </c>
      <c r="S315" s="126">
        <f>S316+S321+S323+S319</f>
        <v>1427.7999999999997</v>
      </c>
    </row>
    <row r="316" spans="8:19" ht="18.75">
      <c r="H316" s="26" t="s">
        <v>5</v>
      </c>
      <c r="I316" s="135"/>
      <c r="J316" s="11">
        <v>4</v>
      </c>
      <c r="K316" s="11">
        <v>12</v>
      </c>
      <c r="L316" s="57" t="s">
        <v>243</v>
      </c>
      <c r="M316" s="58" t="s">
        <v>220</v>
      </c>
      <c r="N316" s="58" t="s">
        <v>221</v>
      </c>
      <c r="O316" s="58" t="s">
        <v>4</v>
      </c>
      <c r="P316" s="7"/>
      <c r="Q316" s="124">
        <f>Q317+Q318</f>
        <v>30</v>
      </c>
      <c r="R316" s="124">
        <f>R317+R318</f>
        <v>30</v>
      </c>
      <c r="S316" s="124">
        <f>S317+S318</f>
        <v>30</v>
      </c>
    </row>
    <row r="317" spans="8:19" ht="18.75">
      <c r="H317" s="2" t="s">
        <v>299</v>
      </c>
      <c r="I317" s="263"/>
      <c r="J317" s="11">
        <v>4</v>
      </c>
      <c r="K317" s="11">
        <v>12</v>
      </c>
      <c r="L317" s="57" t="s">
        <v>243</v>
      </c>
      <c r="M317" s="58" t="s">
        <v>220</v>
      </c>
      <c r="N317" s="58" t="s">
        <v>221</v>
      </c>
      <c r="O317" s="58" t="s">
        <v>4</v>
      </c>
      <c r="P317" s="7">
        <v>240</v>
      </c>
      <c r="Q317" s="124">
        <f>'приложение 5'!Q214</f>
        <v>10</v>
      </c>
      <c r="R317" s="124">
        <f>'приложение 5'!R214</f>
        <v>10</v>
      </c>
      <c r="S317" s="124">
        <f>'приложение 5'!S214</f>
        <v>10</v>
      </c>
    </row>
    <row r="318" spans="8:19" ht="31.5">
      <c r="H318" s="2" t="s">
        <v>359</v>
      </c>
      <c r="I318" s="263"/>
      <c r="J318" s="11">
        <v>4</v>
      </c>
      <c r="K318" s="11">
        <v>12</v>
      </c>
      <c r="L318" s="57" t="s">
        <v>243</v>
      </c>
      <c r="M318" s="58" t="s">
        <v>220</v>
      </c>
      <c r="N318" s="58" t="s">
        <v>221</v>
      </c>
      <c r="O318" s="58" t="s">
        <v>4</v>
      </c>
      <c r="P318" s="7">
        <v>810</v>
      </c>
      <c r="Q318" s="124">
        <f>'приложение 5'!Q215</f>
        <v>20</v>
      </c>
      <c r="R318" s="124">
        <f>'приложение 5'!R215</f>
        <v>20</v>
      </c>
      <c r="S318" s="124">
        <f>'приложение 5'!S215</f>
        <v>20</v>
      </c>
    </row>
    <row r="319" spans="8:19" ht="31.5">
      <c r="H319" s="2" t="s">
        <v>1107</v>
      </c>
      <c r="I319" s="263"/>
      <c r="J319" s="11">
        <v>4</v>
      </c>
      <c r="K319" s="11">
        <v>12</v>
      </c>
      <c r="L319" s="57" t="s">
        <v>243</v>
      </c>
      <c r="M319" s="58" t="s">
        <v>220</v>
      </c>
      <c r="N319" s="58" t="s">
        <v>221</v>
      </c>
      <c r="O319" s="58" t="s">
        <v>357</v>
      </c>
      <c r="P319" s="7"/>
      <c r="Q319" s="124">
        <f>Q320</f>
        <v>2499</v>
      </c>
      <c r="R319" s="124">
        <f>R320</f>
        <v>0</v>
      </c>
      <c r="S319" s="124">
        <f>S320</f>
        <v>0</v>
      </c>
    </row>
    <row r="320" spans="8:19" ht="18.75">
      <c r="H320" s="2" t="s">
        <v>299</v>
      </c>
      <c r="I320" s="263"/>
      <c r="J320" s="11">
        <v>4</v>
      </c>
      <c r="K320" s="11">
        <v>12</v>
      </c>
      <c r="L320" s="57" t="s">
        <v>243</v>
      </c>
      <c r="M320" s="58" t="s">
        <v>220</v>
      </c>
      <c r="N320" s="58" t="s">
        <v>221</v>
      </c>
      <c r="O320" s="58" t="s">
        <v>357</v>
      </c>
      <c r="P320" s="7">
        <v>240</v>
      </c>
      <c r="Q320" s="124">
        <f>'приложение 5'!Q217</f>
        <v>2499</v>
      </c>
      <c r="R320" s="124">
        <f>'приложение 5'!R217</f>
        <v>0</v>
      </c>
      <c r="S320" s="124">
        <f>'приложение 5'!S217</f>
        <v>0</v>
      </c>
    </row>
    <row r="321" spans="8:19" ht="18.75">
      <c r="H321" s="2" t="s">
        <v>358</v>
      </c>
      <c r="I321" s="263"/>
      <c r="J321" s="11">
        <v>4</v>
      </c>
      <c r="K321" s="11">
        <v>12</v>
      </c>
      <c r="L321" s="57" t="s">
        <v>243</v>
      </c>
      <c r="M321" s="58" t="s">
        <v>220</v>
      </c>
      <c r="N321" s="58" t="s">
        <v>221</v>
      </c>
      <c r="O321" s="58" t="s">
        <v>357</v>
      </c>
      <c r="P321" s="7"/>
      <c r="Q321" s="124">
        <f>Q322</f>
        <v>426.1</v>
      </c>
      <c r="R321" s="124">
        <f>R322</f>
        <v>356.4</v>
      </c>
      <c r="S321" s="124">
        <f>S322</f>
        <v>356.4</v>
      </c>
    </row>
    <row r="322" spans="8:19" ht="31.5">
      <c r="H322" s="2" t="s">
        <v>359</v>
      </c>
      <c r="I322" s="263"/>
      <c r="J322" s="11">
        <v>4</v>
      </c>
      <c r="K322" s="11">
        <v>12</v>
      </c>
      <c r="L322" s="57" t="s">
        <v>243</v>
      </c>
      <c r="M322" s="58" t="s">
        <v>220</v>
      </c>
      <c r="N322" s="58" t="s">
        <v>221</v>
      </c>
      <c r="O322" s="58" t="s">
        <v>357</v>
      </c>
      <c r="P322" s="7">
        <v>810</v>
      </c>
      <c r="Q322" s="124">
        <f>'приложение 5'!Q219</f>
        <v>426.1</v>
      </c>
      <c r="R322" s="124">
        <f>'приложение 5'!R219</f>
        <v>356.4</v>
      </c>
      <c r="S322" s="124">
        <f>'приложение 5'!S219</f>
        <v>356.4</v>
      </c>
    </row>
    <row r="323" spans="8:19" ht="31.5">
      <c r="H323" s="2" t="s">
        <v>1054</v>
      </c>
      <c r="I323" s="263"/>
      <c r="J323" s="11">
        <v>4</v>
      </c>
      <c r="K323" s="11">
        <v>12</v>
      </c>
      <c r="L323" s="57" t="s">
        <v>243</v>
      </c>
      <c r="M323" s="58" t="s">
        <v>220</v>
      </c>
      <c r="N323" s="58" t="s">
        <v>221</v>
      </c>
      <c r="O323" s="58" t="s">
        <v>1053</v>
      </c>
      <c r="P323" s="7"/>
      <c r="Q323" s="124">
        <f>Q324</f>
        <v>1041.3999999999999</v>
      </c>
      <c r="R323" s="124">
        <f>R324</f>
        <v>1041.3999999999999</v>
      </c>
      <c r="S323" s="124">
        <f>S324</f>
        <v>1041.3999999999999</v>
      </c>
    </row>
    <row r="324" spans="8:19" ht="31.5">
      <c r="H324" s="2" t="s">
        <v>359</v>
      </c>
      <c r="I324" s="263"/>
      <c r="J324" s="11">
        <v>4</v>
      </c>
      <c r="K324" s="11">
        <v>12</v>
      </c>
      <c r="L324" s="57" t="s">
        <v>243</v>
      </c>
      <c r="M324" s="58" t="s">
        <v>220</v>
      </c>
      <c r="N324" s="58" t="s">
        <v>221</v>
      </c>
      <c r="O324" s="58" t="s">
        <v>1053</v>
      </c>
      <c r="P324" s="7">
        <v>810</v>
      </c>
      <c r="Q324" s="124">
        <f>'приложение 5'!Q221</f>
        <v>1041.3999999999999</v>
      </c>
      <c r="R324" s="124">
        <f>'приложение 5'!R221</f>
        <v>1041.3999999999999</v>
      </c>
      <c r="S324" s="124">
        <f>'приложение 5'!S221</f>
        <v>1041.3999999999999</v>
      </c>
    </row>
    <row r="325" spans="8:19" ht="31.5">
      <c r="H325" s="2" t="s">
        <v>498</v>
      </c>
      <c r="I325" s="263"/>
      <c r="J325" s="11">
        <v>4</v>
      </c>
      <c r="K325" s="11">
        <v>12</v>
      </c>
      <c r="L325" s="57" t="s">
        <v>243</v>
      </c>
      <c r="M325" s="58" t="s">
        <v>220</v>
      </c>
      <c r="N325" s="58" t="s">
        <v>236</v>
      </c>
      <c r="O325" s="58" t="s">
        <v>261</v>
      </c>
      <c r="P325" s="7"/>
      <c r="Q325" s="124">
        <f aca="true" t="shared" si="34" ref="Q325:S326">Q326</f>
        <v>80</v>
      </c>
      <c r="R325" s="124">
        <f t="shared" si="34"/>
        <v>80</v>
      </c>
      <c r="S325" s="124">
        <f t="shared" si="34"/>
        <v>80</v>
      </c>
    </row>
    <row r="326" spans="8:19" ht="18.75">
      <c r="H326" s="2" t="s">
        <v>7</v>
      </c>
      <c r="I326" s="263"/>
      <c r="J326" s="11">
        <v>4</v>
      </c>
      <c r="K326" s="11">
        <v>12</v>
      </c>
      <c r="L326" s="57" t="s">
        <v>243</v>
      </c>
      <c r="M326" s="58" t="s">
        <v>220</v>
      </c>
      <c r="N326" s="58" t="s">
        <v>236</v>
      </c>
      <c r="O326" s="58" t="s">
        <v>6</v>
      </c>
      <c r="P326" s="7"/>
      <c r="Q326" s="124">
        <f t="shared" si="34"/>
        <v>80</v>
      </c>
      <c r="R326" s="124">
        <f t="shared" si="34"/>
        <v>80</v>
      </c>
      <c r="S326" s="124">
        <f t="shared" si="34"/>
        <v>80</v>
      </c>
    </row>
    <row r="327" spans="8:19" ht="18.75">
      <c r="H327" s="2" t="s">
        <v>299</v>
      </c>
      <c r="I327" s="263"/>
      <c r="J327" s="11">
        <v>4</v>
      </c>
      <c r="K327" s="11">
        <v>12</v>
      </c>
      <c r="L327" s="57" t="s">
        <v>243</v>
      </c>
      <c r="M327" s="58" t="s">
        <v>220</v>
      </c>
      <c r="N327" s="58" t="s">
        <v>236</v>
      </c>
      <c r="O327" s="58" t="s">
        <v>6</v>
      </c>
      <c r="P327" s="7">
        <v>240</v>
      </c>
      <c r="Q327" s="124">
        <f>'приложение 5'!Q224</f>
        <v>80</v>
      </c>
      <c r="R327" s="124">
        <f>'приложение 5'!R224</f>
        <v>80</v>
      </c>
      <c r="S327" s="124">
        <f>'приложение 5'!S224</f>
        <v>80</v>
      </c>
    </row>
    <row r="328" spans="8:19" ht="19.5">
      <c r="H328" s="227" t="s">
        <v>244</v>
      </c>
      <c r="I328" s="297"/>
      <c r="J328" s="86">
        <v>5</v>
      </c>
      <c r="K328" s="86" t="s">
        <v>262</v>
      </c>
      <c r="L328" s="87"/>
      <c r="M328" s="88"/>
      <c r="N328" s="88"/>
      <c r="O328" s="88"/>
      <c r="P328" s="85"/>
      <c r="Q328" s="123">
        <f>Q329+Q350+Q406+Q473</f>
        <v>717533.1</v>
      </c>
      <c r="R328" s="123">
        <f>R329+R350+R406+R473</f>
        <v>54161.2</v>
      </c>
      <c r="S328" s="123">
        <f>S329+S350+S406+S473</f>
        <v>44199.2</v>
      </c>
    </row>
    <row r="329" spans="8:19" ht="19.5">
      <c r="H329" s="222" t="s">
        <v>260</v>
      </c>
      <c r="I329" s="342"/>
      <c r="J329" s="86">
        <v>5</v>
      </c>
      <c r="K329" s="86">
        <v>1</v>
      </c>
      <c r="L329" s="87"/>
      <c r="M329" s="88"/>
      <c r="N329" s="88"/>
      <c r="O329" s="88"/>
      <c r="P329" s="85"/>
      <c r="Q329" s="123">
        <f>Q339+Q330</f>
        <v>610319.3999999999</v>
      </c>
      <c r="R329" s="123">
        <f>R339</f>
        <v>0</v>
      </c>
      <c r="S329" s="123">
        <f>S339</f>
        <v>0</v>
      </c>
    </row>
    <row r="330" spans="8:19" ht="31.5" hidden="1">
      <c r="H330" s="129" t="s">
        <v>522</v>
      </c>
      <c r="I330" s="9">
        <v>668</v>
      </c>
      <c r="J330" s="11">
        <v>5</v>
      </c>
      <c r="K330" s="11">
        <v>1</v>
      </c>
      <c r="L330" s="57" t="s">
        <v>494</v>
      </c>
      <c r="M330" s="58" t="s">
        <v>220</v>
      </c>
      <c r="N330" s="58" t="s">
        <v>229</v>
      </c>
      <c r="O330" s="58" t="s">
        <v>261</v>
      </c>
      <c r="P330" s="7"/>
      <c r="Q330" s="124">
        <f>Q331+Q334</f>
        <v>0</v>
      </c>
      <c r="R330" s="124">
        <v>0</v>
      </c>
      <c r="S330" s="124">
        <v>0</v>
      </c>
    </row>
    <row r="331" spans="8:19" ht="31.5" hidden="1">
      <c r="H331" s="129" t="s">
        <v>523</v>
      </c>
      <c r="I331" s="9">
        <v>668</v>
      </c>
      <c r="J331" s="11">
        <v>5</v>
      </c>
      <c r="K331" s="11">
        <v>1</v>
      </c>
      <c r="L331" s="57" t="s">
        <v>494</v>
      </c>
      <c r="M331" s="58" t="s">
        <v>220</v>
      </c>
      <c r="N331" s="58" t="s">
        <v>221</v>
      </c>
      <c r="O331" s="58" t="s">
        <v>261</v>
      </c>
      <c r="P331" s="7"/>
      <c r="Q331" s="124">
        <f>Q332</f>
        <v>0</v>
      </c>
      <c r="R331" s="124">
        <v>0</v>
      </c>
      <c r="S331" s="124">
        <v>0</v>
      </c>
    </row>
    <row r="332" spans="8:19" ht="18.75" hidden="1">
      <c r="H332" s="129" t="s">
        <v>11</v>
      </c>
      <c r="I332" s="9">
        <v>668</v>
      </c>
      <c r="J332" s="11">
        <v>5</v>
      </c>
      <c r="K332" s="11">
        <v>1</v>
      </c>
      <c r="L332" s="57" t="s">
        <v>494</v>
      </c>
      <c r="M332" s="58" t="s">
        <v>220</v>
      </c>
      <c r="N332" s="58" t="s">
        <v>221</v>
      </c>
      <c r="O332" s="58" t="s">
        <v>70</v>
      </c>
      <c r="P332" s="7"/>
      <c r="Q332" s="124">
        <f>Q333</f>
        <v>0</v>
      </c>
      <c r="R332" s="124">
        <v>0</v>
      </c>
      <c r="S332" s="124">
        <v>0</v>
      </c>
    </row>
    <row r="333" spans="8:19" ht="18.75" hidden="1">
      <c r="H333" s="2" t="s">
        <v>299</v>
      </c>
      <c r="I333" s="9">
        <v>668</v>
      </c>
      <c r="J333" s="11">
        <v>5</v>
      </c>
      <c r="K333" s="11">
        <v>1</v>
      </c>
      <c r="L333" s="57" t="s">
        <v>494</v>
      </c>
      <c r="M333" s="58" t="s">
        <v>220</v>
      </c>
      <c r="N333" s="58" t="s">
        <v>221</v>
      </c>
      <c r="O333" s="58" t="s">
        <v>70</v>
      </c>
      <c r="P333" s="7">
        <v>240</v>
      </c>
      <c r="Q333" s="124">
        <f>'приложение 5'!Q230</f>
        <v>0</v>
      </c>
      <c r="R333" s="124">
        <f>'приложение 5'!R230</f>
        <v>0</v>
      </c>
      <c r="S333" s="124">
        <f>'приложение 5'!S230</f>
        <v>0</v>
      </c>
    </row>
    <row r="334" spans="8:19" ht="31.5" hidden="1">
      <c r="H334" s="129" t="s">
        <v>894</v>
      </c>
      <c r="I334" s="9"/>
      <c r="J334" s="11">
        <v>5</v>
      </c>
      <c r="K334" s="11">
        <v>1</v>
      </c>
      <c r="L334" s="57" t="s">
        <v>494</v>
      </c>
      <c r="M334" s="58" t="s">
        <v>220</v>
      </c>
      <c r="N334" s="58" t="s">
        <v>236</v>
      </c>
      <c r="O334" s="58" t="s">
        <v>261</v>
      </c>
      <c r="P334" s="7"/>
      <c r="Q334" s="124">
        <f>Q335+Q337</f>
        <v>0</v>
      </c>
      <c r="R334" s="124">
        <f>R335+R337</f>
        <v>0</v>
      </c>
      <c r="S334" s="124">
        <f>S335+S337</f>
        <v>0</v>
      </c>
    </row>
    <row r="335" spans="8:19" ht="18.75" hidden="1">
      <c r="H335" s="129" t="s">
        <v>906</v>
      </c>
      <c r="I335" s="9"/>
      <c r="J335" s="11">
        <v>5</v>
      </c>
      <c r="K335" s="11">
        <v>1</v>
      </c>
      <c r="L335" s="57" t="s">
        <v>494</v>
      </c>
      <c r="M335" s="58" t="s">
        <v>220</v>
      </c>
      <c r="N335" s="58" t="s">
        <v>236</v>
      </c>
      <c r="O335" s="58" t="s">
        <v>905</v>
      </c>
      <c r="P335" s="7"/>
      <c r="Q335" s="124">
        <f>Q336</f>
        <v>0</v>
      </c>
      <c r="R335" s="124">
        <v>0</v>
      </c>
      <c r="S335" s="124">
        <v>0</v>
      </c>
    </row>
    <row r="336" spans="8:19" ht="18.75" hidden="1">
      <c r="H336" s="129" t="s">
        <v>301</v>
      </c>
      <c r="I336" s="9"/>
      <c r="J336" s="11">
        <v>5</v>
      </c>
      <c r="K336" s="11">
        <v>1</v>
      </c>
      <c r="L336" s="57" t="s">
        <v>494</v>
      </c>
      <c r="M336" s="58" t="s">
        <v>220</v>
      </c>
      <c r="N336" s="58" t="s">
        <v>236</v>
      </c>
      <c r="O336" s="58" t="s">
        <v>905</v>
      </c>
      <c r="P336" s="7">
        <v>610</v>
      </c>
      <c r="Q336" s="124">
        <f>'приложение 5'!Q560</f>
        <v>0</v>
      </c>
      <c r="R336" s="124">
        <f>'приложение 5'!R560</f>
        <v>0</v>
      </c>
      <c r="S336" s="124">
        <f>'приложение 5'!S560</f>
        <v>0</v>
      </c>
    </row>
    <row r="337" spans="8:19" ht="31.5" hidden="1">
      <c r="H337" s="25" t="s">
        <v>945</v>
      </c>
      <c r="I337" s="9"/>
      <c r="J337" s="11">
        <v>5</v>
      </c>
      <c r="K337" s="11">
        <v>1</v>
      </c>
      <c r="L337" s="57" t="s">
        <v>494</v>
      </c>
      <c r="M337" s="58" t="s">
        <v>220</v>
      </c>
      <c r="N337" s="58" t="s">
        <v>236</v>
      </c>
      <c r="O337" s="58" t="s">
        <v>946</v>
      </c>
      <c r="P337" s="3"/>
      <c r="Q337" s="124">
        <f>Q338</f>
        <v>0</v>
      </c>
      <c r="R337" s="124">
        <f>R338</f>
        <v>0</v>
      </c>
      <c r="S337" s="124">
        <f>S338</f>
        <v>0</v>
      </c>
    </row>
    <row r="338" spans="8:19" ht="18.75" hidden="1">
      <c r="H338" s="2" t="s">
        <v>299</v>
      </c>
      <c r="I338" s="9"/>
      <c r="J338" s="11">
        <v>5</v>
      </c>
      <c r="K338" s="11">
        <v>1</v>
      </c>
      <c r="L338" s="57" t="s">
        <v>494</v>
      </c>
      <c r="M338" s="58" t="s">
        <v>220</v>
      </c>
      <c r="N338" s="58" t="s">
        <v>236</v>
      </c>
      <c r="O338" s="58" t="s">
        <v>946</v>
      </c>
      <c r="P338" s="3">
        <v>240</v>
      </c>
      <c r="Q338" s="124">
        <f>'приложение 5'!Q562</f>
        <v>0</v>
      </c>
      <c r="R338" s="124">
        <f>'приложение 5'!R562</f>
        <v>0</v>
      </c>
      <c r="S338" s="124">
        <f>'приложение 5'!S562</f>
        <v>0</v>
      </c>
    </row>
    <row r="339" spans="8:19" ht="47.25">
      <c r="H339" s="26" t="s">
        <v>343</v>
      </c>
      <c r="I339" s="135"/>
      <c r="J339" s="11">
        <v>5</v>
      </c>
      <c r="K339" s="11">
        <v>1</v>
      </c>
      <c r="L339" s="57" t="s">
        <v>22</v>
      </c>
      <c r="M339" s="58" t="s">
        <v>220</v>
      </c>
      <c r="N339" s="58" t="s">
        <v>229</v>
      </c>
      <c r="O339" s="58" t="s">
        <v>261</v>
      </c>
      <c r="P339" s="7"/>
      <c r="Q339" s="124">
        <f>Q340</f>
        <v>610319.3999999999</v>
      </c>
      <c r="R339" s="124">
        <f>R340</f>
        <v>0</v>
      </c>
      <c r="S339" s="124">
        <f>S340</f>
        <v>0</v>
      </c>
    </row>
    <row r="340" spans="8:19" ht="31.5">
      <c r="H340" s="26" t="s">
        <v>399</v>
      </c>
      <c r="I340" s="135"/>
      <c r="J340" s="11">
        <v>5</v>
      </c>
      <c r="K340" s="11">
        <v>1</v>
      </c>
      <c r="L340" s="57" t="s">
        <v>22</v>
      </c>
      <c r="M340" s="58" t="s">
        <v>220</v>
      </c>
      <c r="N340" s="58" t="s">
        <v>344</v>
      </c>
      <c r="O340" s="58" t="s">
        <v>261</v>
      </c>
      <c r="P340" s="7"/>
      <c r="Q340" s="124">
        <f>Q341+Q344+Q347</f>
        <v>610319.3999999999</v>
      </c>
      <c r="R340" s="124">
        <f>R341+R344+R347</f>
        <v>0</v>
      </c>
      <c r="S340" s="124">
        <f>S341+S344+S347</f>
        <v>0</v>
      </c>
    </row>
    <row r="341" spans="8:19" ht="31.5">
      <c r="H341" s="26" t="s">
        <v>338</v>
      </c>
      <c r="I341" s="135"/>
      <c r="J341" s="11">
        <v>5</v>
      </c>
      <c r="K341" s="11">
        <v>1</v>
      </c>
      <c r="L341" s="57" t="s">
        <v>22</v>
      </c>
      <c r="M341" s="58" t="s">
        <v>220</v>
      </c>
      <c r="N341" s="58" t="s">
        <v>344</v>
      </c>
      <c r="O341" s="58" t="s">
        <v>347</v>
      </c>
      <c r="P341" s="3"/>
      <c r="Q341" s="126">
        <f>Q342+Q343</f>
        <v>172204.8</v>
      </c>
      <c r="R341" s="126">
        <f>R342+R343</f>
        <v>0</v>
      </c>
      <c r="S341" s="126">
        <f>S342+S343</f>
        <v>0</v>
      </c>
    </row>
    <row r="342" spans="8:19" ht="18.75">
      <c r="H342" s="26" t="s">
        <v>201</v>
      </c>
      <c r="I342" s="135"/>
      <c r="J342" s="11">
        <v>5</v>
      </c>
      <c r="K342" s="11">
        <v>1</v>
      </c>
      <c r="L342" s="57" t="s">
        <v>22</v>
      </c>
      <c r="M342" s="58" t="s">
        <v>220</v>
      </c>
      <c r="N342" s="58" t="s">
        <v>344</v>
      </c>
      <c r="O342" s="58" t="s">
        <v>347</v>
      </c>
      <c r="P342" s="3">
        <v>410</v>
      </c>
      <c r="Q342" s="126">
        <f>'приложение 5'!Q234</f>
        <v>154654</v>
      </c>
      <c r="R342" s="126">
        <f>'приложение 5'!R234</f>
        <v>0</v>
      </c>
      <c r="S342" s="126">
        <f>'приложение 5'!S234</f>
        <v>0</v>
      </c>
    </row>
    <row r="343" spans="8:19" ht="18.75">
      <c r="H343" s="2" t="s">
        <v>300</v>
      </c>
      <c r="I343" s="135"/>
      <c r="J343" s="11">
        <v>5</v>
      </c>
      <c r="K343" s="11">
        <v>1</v>
      </c>
      <c r="L343" s="57" t="s">
        <v>22</v>
      </c>
      <c r="M343" s="58" t="s">
        <v>220</v>
      </c>
      <c r="N343" s="58" t="s">
        <v>344</v>
      </c>
      <c r="O343" s="58" t="s">
        <v>347</v>
      </c>
      <c r="P343" s="7">
        <v>850</v>
      </c>
      <c r="Q343" s="124">
        <f>'приложение 5'!Q235</f>
        <v>17550.8</v>
      </c>
      <c r="R343" s="124">
        <f>'приложение 5'!R235</f>
        <v>0</v>
      </c>
      <c r="S343" s="124">
        <f>'приложение 5'!S235</f>
        <v>0</v>
      </c>
    </row>
    <row r="344" spans="8:19" ht="31.5">
      <c r="H344" s="26" t="s">
        <v>339</v>
      </c>
      <c r="I344" s="135"/>
      <c r="J344" s="11">
        <v>5</v>
      </c>
      <c r="K344" s="11">
        <v>1</v>
      </c>
      <c r="L344" s="57" t="s">
        <v>22</v>
      </c>
      <c r="M344" s="58" t="s">
        <v>220</v>
      </c>
      <c r="N344" s="58" t="s">
        <v>344</v>
      </c>
      <c r="O344" s="58" t="s">
        <v>348</v>
      </c>
      <c r="P344" s="7"/>
      <c r="Q344" s="124">
        <f>Q345+Q346</f>
        <v>437095.1</v>
      </c>
      <c r="R344" s="124">
        <f>R345</f>
        <v>0</v>
      </c>
      <c r="S344" s="124">
        <f>S345</f>
        <v>0</v>
      </c>
    </row>
    <row r="345" spans="8:19" ht="18.75">
      <c r="H345" s="26" t="s">
        <v>201</v>
      </c>
      <c r="I345" s="135"/>
      <c r="J345" s="11">
        <v>5</v>
      </c>
      <c r="K345" s="11">
        <v>1</v>
      </c>
      <c r="L345" s="57" t="s">
        <v>22</v>
      </c>
      <c r="M345" s="58" t="s">
        <v>220</v>
      </c>
      <c r="N345" s="58" t="s">
        <v>344</v>
      </c>
      <c r="O345" s="58" t="s">
        <v>348</v>
      </c>
      <c r="P345" s="7">
        <v>410</v>
      </c>
      <c r="Q345" s="124">
        <f>'приложение 5'!Q237</f>
        <v>429396.89999999997</v>
      </c>
      <c r="R345" s="124">
        <f>'приложение 5'!R237</f>
        <v>0</v>
      </c>
      <c r="S345" s="124">
        <f>'приложение 5'!S237</f>
        <v>0</v>
      </c>
    </row>
    <row r="346" spans="8:19" ht="18.75">
      <c r="H346" s="2" t="s">
        <v>300</v>
      </c>
      <c r="I346" s="135"/>
      <c r="J346" s="11">
        <v>5</v>
      </c>
      <c r="K346" s="11">
        <v>1</v>
      </c>
      <c r="L346" s="57" t="s">
        <v>22</v>
      </c>
      <c r="M346" s="58" t="s">
        <v>220</v>
      </c>
      <c r="N346" s="58" t="s">
        <v>344</v>
      </c>
      <c r="O346" s="58" t="s">
        <v>348</v>
      </c>
      <c r="P346" s="7">
        <v>850</v>
      </c>
      <c r="Q346" s="124">
        <f>'приложение 5'!Q238</f>
        <v>7698.2</v>
      </c>
      <c r="R346" s="124">
        <f>'приложение 5'!R238</f>
        <v>0</v>
      </c>
      <c r="S346" s="124">
        <f>'приложение 5'!S238</f>
        <v>0</v>
      </c>
    </row>
    <row r="347" spans="8:19" ht="31.5">
      <c r="H347" s="26" t="s">
        <v>822</v>
      </c>
      <c r="I347" s="135"/>
      <c r="J347" s="11">
        <v>5</v>
      </c>
      <c r="K347" s="11">
        <v>1</v>
      </c>
      <c r="L347" s="57" t="s">
        <v>22</v>
      </c>
      <c r="M347" s="58" t="s">
        <v>220</v>
      </c>
      <c r="N347" s="58" t="s">
        <v>344</v>
      </c>
      <c r="O347" s="58" t="s">
        <v>350</v>
      </c>
      <c r="P347" s="7"/>
      <c r="Q347" s="124">
        <f>Q348+Q349</f>
        <v>1019.5</v>
      </c>
      <c r="R347" s="124">
        <f>R348+R349</f>
        <v>0</v>
      </c>
      <c r="S347" s="124">
        <f>S348+S349</f>
        <v>0</v>
      </c>
    </row>
    <row r="348" spans="8:19" ht="18.75">
      <c r="H348" s="2" t="s">
        <v>299</v>
      </c>
      <c r="I348" s="135"/>
      <c r="J348" s="11">
        <v>5</v>
      </c>
      <c r="K348" s="11">
        <v>1</v>
      </c>
      <c r="L348" s="57" t="s">
        <v>22</v>
      </c>
      <c r="M348" s="58" t="s">
        <v>220</v>
      </c>
      <c r="N348" s="58" t="s">
        <v>344</v>
      </c>
      <c r="O348" s="58" t="s">
        <v>350</v>
      </c>
      <c r="P348" s="7">
        <v>240</v>
      </c>
      <c r="Q348" s="124">
        <f>'приложение 5'!Q240</f>
        <v>19.5</v>
      </c>
      <c r="R348" s="124">
        <f>'приложение 5'!R240</f>
        <v>0</v>
      </c>
      <c r="S348" s="124">
        <f>'приложение 5'!S240</f>
        <v>0</v>
      </c>
    </row>
    <row r="349" spans="8:19" ht="18.75">
      <c r="H349" s="2" t="s">
        <v>318</v>
      </c>
      <c r="I349" s="263"/>
      <c r="J349" s="11">
        <v>5</v>
      </c>
      <c r="K349" s="11">
        <v>1</v>
      </c>
      <c r="L349" s="57" t="s">
        <v>22</v>
      </c>
      <c r="M349" s="58" t="s">
        <v>220</v>
      </c>
      <c r="N349" s="58" t="s">
        <v>344</v>
      </c>
      <c r="O349" s="58" t="s">
        <v>350</v>
      </c>
      <c r="P349" s="7">
        <v>620</v>
      </c>
      <c r="Q349" s="124">
        <f>'приложение 5'!Q241</f>
        <v>1000</v>
      </c>
      <c r="R349" s="124">
        <f>'приложение 5'!R241</f>
        <v>0</v>
      </c>
      <c r="S349" s="124">
        <f>'приложение 5'!S241</f>
        <v>0</v>
      </c>
    </row>
    <row r="350" spans="8:19" ht="19.5">
      <c r="H350" s="222" t="s">
        <v>312</v>
      </c>
      <c r="I350" s="223"/>
      <c r="J350" s="86">
        <v>5</v>
      </c>
      <c r="K350" s="86">
        <v>2</v>
      </c>
      <c r="L350" s="87"/>
      <c r="M350" s="88"/>
      <c r="N350" s="88"/>
      <c r="O350" s="88"/>
      <c r="P350" s="85"/>
      <c r="Q350" s="123">
        <f>Q351+Q372</f>
        <v>14419.5</v>
      </c>
      <c r="R350" s="123">
        <f>R351+R372</f>
        <v>8501.3</v>
      </c>
      <c r="S350" s="123">
        <f>S351+S372</f>
        <v>3418</v>
      </c>
    </row>
    <row r="351" spans="8:19" ht="31.5">
      <c r="H351" s="2" t="s">
        <v>522</v>
      </c>
      <c r="I351" s="263"/>
      <c r="J351" s="11">
        <v>5</v>
      </c>
      <c r="K351" s="11">
        <v>2</v>
      </c>
      <c r="L351" s="57" t="s">
        <v>494</v>
      </c>
      <c r="M351" s="58" t="s">
        <v>220</v>
      </c>
      <c r="N351" s="58" t="s">
        <v>229</v>
      </c>
      <c r="O351" s="58" t="s">
        <v>261</v>
      </c>
      <c r="P351" s="7"/>
      <c r="Q351" s="124">
        <f>Q352+Q362+Q367+Q357</f>
        <v>2090</v>
      </c>
      <c r="R351" s="124">
        <f>R352+R362+R367+R357</f>
        <v>0</v>
      </c>
      <c r="S351" s="124">
        <f>S352+S362+S367+S357</f>
        <v>0</v>
      </c>
    </row>
    <row r="352" spans="8:19" ht="31.5" hidden="1">
      <c r="H352" s="2" t="s">
        <v>523</v>
      </c>
      <c r="I352" s="263"/>
      <c r="J352" s="11">
        <v>5</v>
      </c>
      <c r="K352" s="11">
        <v>2</v>
      </c>
      <c r="L352" s="57" t="s">
        <v>494</v>
      </c>
      <c r="M352" s="58" t="s">
        <v>220</v>
      </c>
      <c r="N352" s="58" t="s">
        <v>221</v>
      </c>
      <c r="O352" s="58" t="s">
        <v>261</v>
      </c>
      <c r="P352" s="7"/>
      <c r="Q352" s="124">
        <f>Q355+Q353</f>
        <v>0</v>
      </c>
      <c r="R352" s="124">
        <f>R355+R353</f>
        <v>0</v>
      </c>
      <c r="S352" s="124">
        <f>S355+S353</f>
        <v>0</v>
      </c>
    </row>
    <row r="353" spans="8:19" ht="18.75" hidden="1">
      <c r="H353" s="2" t="s">
        <v>60</v>
      </c>
      <c r="I353" s="263"/>
      <c r="J353" s="11">
        <v>5</v>
      </c>
      <c r="K353" s="11">
        <v>2</v>
      </c>
      <c r="L353" s="57" t="s">
        <v>494</v>
      </c>
      <c r="M353" s="58" t="s">
        <v>220</v>
      </c>
      <c r="N353" s="58" t="s">
        <v>221</v>
      </c>
      <c r="O353" s="58" t="s">
        <v>264</v>
      </c>
      <c r="P353" s="7"/>
      <c r="Q353" s="124">
        <f>Q354</f>
        <v>0</v>
      </c>
      <c r="R353" s="124">
        <f>R354</f>
        <v>0</v>
      </c>
      <c r="S353" s="124">
        <f>S354</f>
        <v>0</v>
      </c>
    </row>
    <row r="354" spans="8:19" ht="18.75" hidden="1">
      <c r="H354" s="2" t="s">
        <v>299</v>
      </c>
      <c r="I354" s="263"/>
      <c r="J354" s="11">
        <v>5</v>
      </c>
      <c r="K354" s="11">
        <v>2</v>
      </c>
      <c r="L354" s="57" t="s">
        <v>494</v>
      </c>
      <c r="M354" s="58" t="s">
        <v>220</v>
      </c>
      <c r="N354" s="58" t="s">
        <v>221</v>
      </c>
      <c r="O354" s="58" t="s">
        <v>264</v>
      </c>
      <c r="P354" s="7">
        <v>240</v>
      </c>
      <c r="Q354" s="124">
        <f>'приложение 5'!Q246</f>
        <v>0</v>
      </c>
      <c r="R354" s="124">
        <f>'приложение 5'!R246</f>
        <v>0</v>
      </c>
      <c r="S354" s="124">
        <f>'приложение 5'!S246</f>
        <v>0</v>
      </c>
    </row>
    <row r="355" spans="8:19" ht="18.75" hidden="1">
      <c r="H355" s="26" t="s">
        <v>462</v>
      </c>
      <c r="I355" s="135"/>
      <c r="J355" s="11">
        <v>5</v>
      </c>
      <c r="K355" s="11">
        <v>2</v>
      </c>
      <c r="L355" s="57" t="s">
        <v>494</v>
      </c>
      <c r="M355" s="58" t="s">
        <v>220</v>
      </c>
      <c r="N355" s="58" t="s">
        <v>221</v>
      </c>
      <c r="O355" s="58" t="s">
        <v>316</v>
      </c>
      <c r="P355" s="7"/>
      <c r="Q355" s="124">
        <f>Q356</f>
        <v>0</v>
      </c>
      <c r="R355" s="124">
        <f>R356</f>
        <v>0</v>
      </c>
      <c r="S355" s="124">
        <f>S356</f>
        <v>0</v>
      </c>
    </row>
    <row r="356" spans="8:19" ht="18.75" hidden="1">
      <c r="H356" s="2" t="s">
        <v>299</v>
      </c>
      <c r="I356" s="263"/>
      <c r="J356" s="11">
        <v>5</v>
      </c>
      <c r="K356" s="11">
        <v>2</v>
      </c>
      <c r="L356" s="57" t="s">
        <v>494</v>
      </c>
      <c r="M356" s="58" t="s">
        <v>220</v>
      </c>
      <c r="N356" s="58" t="s">
        <v>221</v>
      </c>
      <c r="O356" s="58" t="s">
        <v>316</v>
      </c>
      <c r="P356" s="7">
        <v>240</v>
      </c>
      <c r="Q356" s="124">
        <f>'приложение 5'!Q248</f>
        <v>0</v>
      </c>
      <c r="R356" s="124">
        <f>'приложение 5'!R248</f>
        <v>0</v>
      </c>
      <c r="S356" s="124">
        <f>'приложение 5'!S248</f>
        <v>0</v>
      </c>
    </row>
    <row r="357" spans="8:19" ht="31.5" hidden="1">
      <c r="H357" s="25" t="s">
        <v>894</v>
      </c>
      <c r="I357" s="263"/>
      <c r="J357" s="11">
        <v>5</v>
      </c>
      <c r="K357" s="11">
        <v>2</v>
      </c>
      <c r="L357" s="57" t="s">
        <v>494</v>
      </c>
      <c r="M357" s="58" t="s">
        <v>220</v>
      </c>
      <c r="N357" s="58" t="s">
        <v>236</v>
      </c>
      <c r="O357" s="58" t="s">
        <v>261</v>
      </c>
      <c r="P357" s="3"/>
      <c r="Q357" s="124">
        <f>Q358+Q361</f>
        <v>0</v>
      </c>
      <c r="R357" s="124">
        <f>R358+R361</f>
        <v>0</v>
      </c>
      <c r="S357" s="124">
        <f>S358+S361</f>
        <v>0</v>
      </c>
    </row>
    <row r="358" spans="8:19" ht="18.75" hidden="1">
      <c r="H358" s="2" t="s">
        <v>60</v>
      </c>
      <c r="I358" s="263"/>
      <c r="J358" s="11">
        <v>5</v>
      </c>
      <c r="K358" s="11">
        <v>2</v>
      </c>
      <c r="L358" s="57" t="s">
        <v>494</v>
      </c>
      <c r="M358" s="58" t="s">
        <v>220</v>
      </c>
      <c r="N358" s="58" t="s">
        <v>236</v>
      </c>
      <c r="O358" s="58" t="s">
        <v>264</v>
      </c>
      <c r="P358" s="3"/>
      <c r="Q358" s="124">
        <f>Q359</f>
        <v>0</v>
      </c>
      <c r="R358" s="124">
        <f>R359</f>
        <v>0</v>
      </c>
      <c r="S358" s="124">
        <f>S359</f>
        <v>0</v>
      </c>
    </row>
    <row r="359" spans="8:19" ht="18.75" hidden="1">
      <c r="H359" s="2" t="s">
        <v>299</v>
      </c>
      <c r="I359" s="263"/>
      <c r="J359" s="11">
        <v>5</v>
      </c>
      <c r="K359" s="11">
        <v>2</v>
      </c>
      <c r="L359" s="57" t="s">
        <v>494</v>
      </c>
      <c r="M359" s="58" t="s">
        <v>220</v>
      </c>
      <c r="N359" s="58" t="s">
        <v>236</v>
      </c>
      <c r="O359" s="58" t="s">
        <v>264</v>
      </c>
      <c r="P359" s="3">
        <v>240</v>
      </c>
      <c r="Q359" s="124">
        <f>'приложение 5'!Q567</f>
        <v>0</v>
      </c>
      <c r="R359" s="124">
        <f>'приложение 5'!R567</f>
        <v>0</v>
      </c>
      <c r="S359" s="124">
        <f>'приложение 5'!S567</f>
        <v>0</v>
      </c>
    </row>
    <row r="360" spans="8:19" ht="18.75" hidden="1">
      <c r="H360" s="26" t="s">
        <v>462</v>
      </c>
      <c r="I360" s="263"/>
      <c r="J360" s="11">
        <v>5</v>
      </c>
      <c r="K360" s="11">
        <v>2</v>
      </c>
      <c r="L360" s="57" t="s">
        <v>494</v>
      </c>
      <c r="M360" s="58" t="s">
        <v>220</v>
      </c>
      <c r="N360" s="58" t="s">
        <v>236</v>
      </c>
      <c r="O360" s="58" t="s">
        <v>316</v>
      </c>
      <c r="P360" s="3"/>
      <c r="Q360" s="124">
        <f>Q361</f>
        <v>0</v>
      </c>
      <c r="R360" s="124">
        <f>R361</f>
        <v>0</v>
      </c>
      <c r="S360" s="124">
        <f>S361</f>
        <v>0</v>
      </c>
    </row>
    <row r="361" spans="8:19" ht="18.75" hidden="1">
      <c r="H361" s="2" t="s">
        <v>299</v>
      </c>
      <c r="I361" s="263"/>
      <c r="J361" s="11">
        <v>5</v>
      </c>
      <c r="K361" s="11">
        <v>2</v>
      </c>
      <c r="L361" s="57" t="s">
        <v>494</v>
      </c>
      <c r="M361" s="58" t="s">
        <v>220</v>
      </c>
      <c r="N361" s="58" t="s">
        <v>236</v>
      </c>
      <c r="O361" s="58" t="s">
        <v>316</v>
      </c>
      <c r="P361" s="3">
        <v>240</v>
      </c>
      <c r="Q361" s="124">
        <f>'приложение 5'!Q569</f>
        <v>0</v>
      </c>
      <c r="R361" s="124">
        <f>'приложение 5'!R569</f>
        <v>0</v>
      </c>
      <c r="S361" s="124">
        <f>'приложение 5'!S569</f>
        <v>0</v>
      </c>
    </row>
    <row r="362" spans="8:19" ht="31.5">
      <c r="H362" s="2" t="s">
        <v>900</v>
      </c>
      <c r="I362" s="263"/>
      <c r="J362" s="11">
        <v>5</v>
      </c>
      <c r="K362" s="11">
        <v>2</v>
      </c>
      <c r="L362" s="57" t="s">
        <v>494</v>
      </c>
      <c r="M362" s="58" t="s">
        <v>220</v>
      </c>
      <c r="N362" s="58" t="s">
        <v>237</v>
      </c>
      <c r="O362" s="58" t="s">
        <v>261</v>
      </c>
      <c r="P362" s="7"/>
      <c r="Q362" s="124">
        <f>Q365+Q363</f>
        <v>900</v>
      </c>
      <c r="R362" s="124">
        <f>R365+R363</f>
        <v>0</v>
      </c>
      <c r="S362" s="124">
        <f>S365+S363</f>
        <v>0</v>
      </c>
    </row>
    <row r="363" spans="8:19" ht="18.75" hidden="1">
      <c r="H363" s="2" t="s">
        <v>60</v>
      </c>
      <c r="I363" s="263"/>
      <c r="J363" s="11">
        <v>5</v>
      </c>
      <c r="K363" s="11">
        <v>2</v>
      </c>
      <c r="L363" s="57" t="s">
        <v>494</v>
      </c>
      <c r="M363" s="58" t="s">
        <v>220</v>
      </c>
      <c r="N363" s="58" t="s">
        <v>237</v>
      </c>
      <c r="O363" s="58" t="s">
        <v>264</v>
      </c>
      <c r="P363" s="3"/>
      <c r="Q363" s="124">
        <f>Q364</f>
        <v>0</v>
      </c>
      <c r="R363" s="124">
        <f>R364</f>
        <v>0</v>
      </c>
      <c r="S363" s="124">
        <f>S364</f>
        <v>0</v>
      </c>
    </row>
    <row r="364" spans="8:19" ht="18.75" hidden="1">
      <c r="H364" s="2" t="s">
        <v>299</v>
      </c>
      <c r="I364" s="263"/>
      <c r="J364" s="11">
        <v>5</v>
      </c>
      <c r="K364" s="11">
        <v>2</v>
      </c>
      <c r="L364" s="57" t="s">
        <v>494</v>
      </c>
      <c r="M364" s="58" t="s">
        <v>220</v>
      </c>
      <c r="N364" s="58" t="s">
        <v>237</v>
      </c>
      <c r="O364" s="58" t="s">
        <v>264</v>
      </c>
      <c r="P364" s="3">
        <v>240</v>
      </c>
      <c r="Q364" s="124">
        <f>'приложение 5'!Q951</f>
        <v>0</v>
      </c>
      <c r="R364" s="124">
        <f>'приложение 5'!R951</f>
        <v>0</v>
      </c>
      <c r="S364" s="124">
        <f>'приложение 5'!S951</f>
        <v>0</v>
      </c>
    </row>
    <row r="365" spans="8:19" ht="18.75">
      <c r="H365" s="26" t="s">
        <v>462</v>
      </c>
      <c r="I365" s="263"/>
      <c r="J365" s="11">
        <v>5</v>
      </c>
      <c r="K365" s="11">
        <v>2</v>
      </c>
      <c r="L365" s="57" t="s">
        <v>494</v>
      </c>
      <c r="M365" s="58" t="s">
        <v>220</v>
      </c>
      <c r="N365" s="58" t="s">
        <v>237</v>
      </c>
      <c r="O365" s="58" t="s">
        <v>316</v>
      </c>
      <c r="P365" s="7"/>
      <c r="Q365" s="124">
        <f>Q366</f>
        <v>900</v>
      </c>
      <c r="R365" s="124">
        <f>R366</f>
        <v>0</v>
      </c>
      <c r="S365" s="124">
        <f>S366</f>
        <v>0</v>
      </c>
    </row>
    <row r="366" spans="8:19" ht="18.75">
      <c r="H366" s="2" t="s">
        <v>299</v>
      </c>
      <c r="I366" s="263"/>
      <c r="J366" s="11">
        <v>5</v>
      </c>
      <c r="K366" s="11">
        <v>2</v>
      </c>
      <c r="L366" s="57" t="s">
        <v>494</v>
      </c>
      <c r="M366" s="58" t="s">
        <v>220</v>
      </c>
      <c r="N366" s="58" t="s">
        <v>237</v>
      </c>
      <c r="O366" s="58" t="s">
        <v>316</v>
      </c>
      <c r="P366" s="7">
        <v>240</v>
      </c>
      <c r="Q366" s="124">
        <f>'приложение 5'!Q953</f>
        <v>900</v>
      </c>
      <c r="R366" s="124">
        <f>'приложение 5'!R953</f>
        <v>0</v>
      </c>
      <c r="S366" s="124">
        <f>'приложение 5'!S953</f>
        <v>0</v>
      </c>
    </row>
    <row r="367" spans="8:19" ht="31.5">
      <c r="H367" s="2" t="s">
        <v>901</v>
      </c>
      <c r="I367" s="263"/>
      <c r="J367" s="11">
        <v>5</v>
      </c>
      <c r="K367" s="11">
        <v>2</v>
      </c>
      <c r="L367" s="57" t="s">
        <v>494</v>
      </c>
      <c r="M367" s="58" t="s">
        <v>220</v>
      </c>
      <c r="N367" s="58" t="s">
        <v>232</v>
      </c>
      <c r="O367" s="58" t="s">
        <v>261</v>
      </c>
      <c r="P367" s="7"/>
      <c r="Q367" s="124">
        <f>Q370+Q368</f>
        <v>1190</v>
      </c>
      <c r="R367" s="124">
        <f>R370+R368</f>
        <v>0</v>
      </c>
      <c r="S367" s="124">
        <f>S370+S368</f>
        <v>0</v>
      </c>
    </row>
    <row r="368" spans="8:19" ht="18.75" hidden="1">
      <c r="H368" s="2" t="s">
        <v>60</v>
      </c>
      <c r="I368" s="263"/>
      <c r="J368" s="11">
        <v>5</v>
      </c>
      <c r="K368" s="11">
        <v>2</v>
      </c>
      <c r="L368" s="57" t="s">
        <v>494</v>
      </c>
      <c r="M368" s="58" t="s">
        <v>220</v>
      </c>
      <c r="N368" s="58" t="s">
        <v>232</v>
      </c>
      <c r="O368" s="58" t="s">
        <v>264</v>
      </c>
      <c r="P368" s="7"/>
      <c r="Q368" s="124">
        <f>Q369</f>
        <v>0</v>
      </c>
      <c r="R368" s="124">
        <f>R369</f>
        <v>0</v>
      </c>
      <c r="S368" s="124">
        <f>S369</f>
        <v>0</v>
      </c>
    </row>
    <row r="369" spans="8:19" ht="18.75" hidden="1">
      <c r="H369" s="2" t="s">
        <v>299</v>
      </c>
      <c r="I369" s="263"/>
      <c r="J369" s="11">
        <v>5</v>
      </c>
      <c r="K369" s="11">
        <v>2</v>
      </c>
      <c r="L369" s="57" t="s">
        <v>494</v>
      </c>
      <c r="M369" s="58" t="s">
        <v>220</v>
      </c>
      <c r="N369" s="58" t="s">
        <v>232</v>
      </c>
      <c r="O369" s="58" t="s">
        <v>264</v>
      </c>
      <c r="P369" s="7">
        <v>240</v>
      </c>
      <c r="Q369" s="124">
        <f>'приложение 5'!Q1045</f>
        <v>0</v>
      </c>
      <c r="R369" s="124">
        <f>'приложение 5'!R1045</f>
        <v>0</v>
      </c>
      <c r="S369" s="124">
        <f>'приложение 5'!S1045</f>
        <v>0</v>
      </c>
    </row>
    <row r="370" spans="8:19" ht="18.75">
      <c r="H370" s="26" t="s">
        <v>462</v>
      </c>
      <c r="I370" s="263"/>
      <c r="J370" s="11">
        <v>5</v>
      </c>
      <c r="K370" s="11">
        <v>2</v>
      </c>
      <c r="L370" s="57" t="s">
        <v>494</v>
      </c>
      <c r="M370" s="58" t="s">
        <v>220</v>
      </c>
      <c r="N370" s="58" t="s">
        <v>232</v>
      </c>
      <c r="O370" s="58" t="s">
        <v>316</v>
      </c>
      <c r="P370" s="7"/>
      <c r="Q370" s="124">
        <f>Q371</f>
        <v>1190</v>
      </c>
      <c r="R370" s="124">
        <f>R371</f>
        <v>0</v>
      </c>
      <c r="S370" s="124">
        <f>S371</f>
        <v>0</v>
      </c>
    </row>
    <row r="371" spans="8:19" ht="18.75">
      <c r="H371" s="2" t="s">
        <v>299</v>
      </c>
      <c r="I371" s="263"/>
      <c r="J371" s="11">
        <v>5</v>
      </c>
      <c r="K371" s="11">
        <v>2</v>
      </c>
      <c r="L371" s="57" t="s">
        <v>494</v>
      </c>
      <c r="M371" s="58" t="s">
        <v>220</v>
      </c>
      <c r="N371" s="58" t="s">
        <v>232</v>
      </c>
      <c r="O371" s="58" t="s">
        <v>316</v>
      </c>
      <c r="P371" s="7">
        <v>240</v>
      </c>
      <c r="Q371" s="124">
        <f>'приложение 5'!Q1047</f>
        <v>1190</v>
      </c>
      <c r="R371" s="124">
        <f>'приложение 5'!R1047</f>
        <v>0</v>
      </c>
      <c r="S371" s="124">
        <f>'приложение 5'!S1047</f>
        <v>0</v>
      </c>
    </row>
    <row r="372" spans="8:19" ht="31.5">
      <c r="H372" s="2" t="s">
        <v>540</v>
      </c>
      <c r="I372" s="263"/>
      <c r="J372" s="11">
        <v>5</v>
      </c>
      <c r="K372" s="11">
        <v>2</v>
      </c>
      <c r="L372" s="57" t="s">
        <v>515</v>
      </c>
      <c r="M372" s="58" t="s">
        <v>220</v>
      </c>
      <c r="N372" s="58" t="s">
        <v>229</v>
      </c>
      <c r="O372" s="58" t="s">
        <v>261</v>
      </c>
      <c r="P372" s="7"/>
      <c r="Q372" s="124">
        <f>Q373+Q388+Q376+Q385+Q392+Q395+Q399+Q403</f>
        <v>12329.5</v>
      </c>
      <c r="R372" s="124">
        <f>R373+R388+R376+R385+R392+R395+R399+R403</f>
        <v>8501.3</v>
      </c>
      <c r="S372" s="124">
        <f>S373+S388+S376+S385+S392+S395+S399+S403</f>
        <v>3418</v>
      </c>
    </row>
    <row r="373" spans="8:19" ht="31.5">
      <c r="H373" s="2" t="s">
        <v>541</v>
      </c>
      <c r="I373" s="263"/>
      <c r="J373" s="11">
        <v>5</v>
      </c>
      <c r="K373" s="11">
        <v>2</v>
      </c>
      <c r="L373" s="57" t="s">
        <v>515</v>
      </c>
      <c r="M373" s="58" t="s">
        <v>220</v>
      </c>
      <c r="N373" s="58" t="s">
        <v>236</v>
      </c>
      <c r="O373" s="58" t="s">
        <v>261</v>
      </c>
      <c r="P373" s="7"/>
      <c r="Q373" s="124">
        <f aca="true" t="shared" si="35" ref="Q373:S374">Q374</f>
        <v>668.4999999999999</v>
      </c>
      <c r="R373" s="124">
        <f t="shared" si="35"/>
        <v>518</v>
      </c>
      <c r="S373" s="124">
        <f t="shared" si="35"/>
        <v>518</v>
      </c>
    </row>
    <row r="374" spans="8:19" ht="18.75">
      <c r="H374" s="2" t="s">
        <v>542</v>
      </c>
      <c r="I374" s="263"/>
      <c r="J374" s="11">
        <v>5</v>
      </c>
      <c r="K374" s="11">
        <v>2</v>
      </c>
      <c r="L374" s="57" t="s">
        <v>515</v>
      </c>
      <c r="M374" s="58" t="s">
        <v>220</v>
      </c>
      <c r="N374" s="58" t="s">
        <v>236</v>
      </c>
      <c r="O374" s="58" t="s">
        <v>517</v>
      </c>
      <c r="P374" s="7"/>
      <c r="Q374" s="124">
        <f t="shared" si="35"/>
        <v>668.4999999999999</v>
      </c>
      <c r="R374" s="124">
        <f t="shared" si="35"/>
        <v>518</v>
      </c>
      <c r="S374" s="124">
        <f t="shared" si="35"/>
        <v>518</v>
      </c>
    </row>
    <row r="375" spans="8:19" ht="18.75">
      <c r="H375" s="2" t="s">
        <v>299</v>
      </c>
      <c r="I375" s="263"/>
      <c r="J375" s="11">
        <v>5</v>
      </c>
      <c r="K375" s="11">
        <v>2</v>
      </c>
      <c r="L375" s="57" t="s">
        <v>515</v>
      </c>
      <c r="M375" s="58" t="s">
        <v>220</v>
      </c>
      <c r="N375" s="58" t="s">
        <v>236</v>
      </c>
      <c r="O375" s="58" t="s">
        <v>517</v>
      </c>
      <c r="P375" s="7">
        <v>240</v>
      </c>
      <c r="Q375" s="124">
        <f>'приложение 5'!Q252</f>
        <v>668.4999999999999</v>
      </c>
      <c r="R375" s="124">
        <f>'приложение 5'!R252</f>
        <v>518</v>
      </c>
      <c r="S375" s="124">
        <f>'приложение 5'!S252</f>
        <v>518</v>
      </c>
    </row>
    <row r="376" spans="8:19" ht="18.75">
      <c r="H376" s="25" t="s">
        <v>1037</v>
      </c>
      <c r="I376" s="343"/>
      <c r="J376" s="11">
        <v>5</v>
      </c>
      <c r="K376" s="11">
        <v>2</v>
      </c>
      <c r="L376" s="57" t="s">
        <v>515</v>
      </c>
      <c r="M376" s="58" t="s">
        <v>220</v>
      </c>
      <c r="N376" s="58" t="s">
        <v>232</v>
      </c>
      <c r="O376" s="58" t="s">
        <v>261</v>
      </c>
      <c r="P376" s="3"/>
      <c r="Q376" s="126">
        <f>Q377+Q381+Q383+Q379</f>
        <v>5381.8</v>
      </c>
      <c r="R376" s="126">
        <f>R377+R381+R383+R379</f>
        <v>5083.3</v>
      </c>
      <c r="S376" s="126">
        <f>S377+S381+S383+S379</f>
        <v>0</v>
      </c>
    </row>
    <row r="377" spans="8:19" ht="18.75">
      <c r="H377" s="376" t="s">
        <v>1081</v>
      </c>
      <c r="I377" s="343"/>
      <c r="J377" s="11">
        <v>5</v>
      </c>
      <c r="K377" s="11">
        <v>2</v>
      </c>
      <c r="L377" s="57" t="s">
        <v>515</v>
      </c>
      <c r="M377" s="58" t="s">
        <v>220</v>
      </c>
      <c r="N377" s="58" t="s">
        <v>232</v>
      </c>
      <c r="O377" s="58" t="s">
        <v>518</v>
      </c>
      <c r="P377" s="3"/>
      <c r="Q377" s="126">
        <f>Q378</f>
        <v>5381.8</v>
      </c>
      <c r="R377" s="126">
        <f>R378</f>
        <v>0</v>
      </c>
      <c r="S377" s="126">
        <f>S378</f>
        <v>0</v>
      </c>
    </row>
    <row r="378" spans="8:19" ht="18.75">
      <c r="H378" s="2" t="s">
        <v>299</v>
      </c>
      <c r="I378" s="263"/>
      <c r="J378" s="11">
        <v>5</v>
      </c>
      <c r="K378" s="11">
        <v>2</v>
      </c>
      <c r="L378" s="57" t="s">
        <v>515</v>
      </c>
      <c r="M378" s="58" t="s">
        <v>220</v>
      </c>
      <c r="N378" s="58" t="s">
        <v>232</v>
      </c>
      <c r="O378" s="58" t="s">
        <v>518</v>
      </c>
      <c r="P378" s="3">
        <v>240</v>
      </c>
      <c r="Q378" s="126">
        <f>'приложение 5'!Q573+'приложение 5'!Q255</f>
        <v>5381.8</v>
      </c>
      <c r="R378" s="126">
        <f>'приложение 5'!R573+'приложение 5'!R255</f>
        <v>0</v>
      </c>
      <c r="S378" s="126">
        <f>'приложение 5'!S573+'приложение 5'!S255</f>
        <v>0</v>
      </c>
    </row>
    <row r="379" spans="8:19" ht="31.5">
      <c r="H379" s="2" t="s">
        <v>977</v>
      </c>
      <c r="I379" s="263"/>
      <c r="J379" s="11">
        <v>5</v>
      </c>
      <c r="K379" s="11">
        <v>2</v>
      </c>
      <c r="L379" s="57" t="s">
        <v>515</v>
      </c>
      <c r="M379" s="58" t="s">
        <v>220</v>
      </c>
      <c r="N379" s="58" t="s">
        <v>232</v>
      </c>
      <c r="O379" s="58" t="s">
        <v>976</v>
      </c>
      <c r="P379" s="3"/>
      <c r="Q379" s="126">
        <f>Q380</f>
        <v>0</v>
      </c>
      <c r="R379" s="126">
        <f>R380</f>
        <v>5083.3</v>
      </c>
      <c r="S379" s="126">
        <f>S380</f>
        <v>0</v>
      </c>
    </row>
    <row r="380" spans="8:19" ht="18.75">
      <c r="H380" s="2" t="s">
        <v>299</v>
      </c>
      <c r="I380" s="263"/>
      <c r="J380" s="11">
        <v>5</v>
      </c>
      <c r="K380" s="11">
        <v>2</v>
      </c>
      <c r="L380" s="57" t="s">
        <v>515</v>
      </c>
      <c r="M380" s="58" t="s">
        <v>220</v>
      </c>
      <c r="N380" s="58" t="s">
        <v>232</v>
      </c>
      <c r="O380" s="58" t="s">
        <v>976</v>
      </c>
      <c r="P380" s="3">
        <v>244</v>
      </c>
      <c r="Q380" s="126">
        <f>'приложение 5'!Q577</f>
        <v>0</v>
      </c>
      <c r="R380" s="126">
        <f>'приложение 5'!R577</f>
        <v>5083.3</v>
      </c>
      <c r="S380" s="126">
        <f>'приложение 5'!S577</f>
        <v>0</v>
      </c>
    </row>
    <row r="381" spans="8:19" ht="31.5" hidden="1">
      <c r="H381" s="304" t="s">
        <v>933</v>
      </c>
      <c r="I381" s="263"/>
      <c r="J381" s="11">
        <v>5</v>
      </c>
      <c r="K381" s="11">
        <v>2</v>
      </c>
      <c r="L381" s="57" t="s">
        <v>515</v>
      </c>
      <c r="M381" s="58" t="s">
        <v>220</v>
      </c>
      <c r="N381" s="58" t="s">
        <v>232</v>
      </c>
      <c r="O381" s="58" t="s">
        <v>931</v>
      </c>
      <c r="P381" s="3"/>
      <c r="Q381" s="126">
        <f>Q382</f>
        <v>0</v>
      </c>
      <c r="R381" s="126">
        <f>R382</f>
        <v>0</v>
      </c>
      <c r="S381" s="126">
        <f>S382</f>
        <v>0</v>
      </c>
    </row>
    <row r="382" spans="8:19" ht="18.75" hidden="1">
      <c r="H382" s="2" t="s">
        <v>299</v>
      </c>
      <c r="I382" s="263"/>
      <c r="J382" s="11">
        <v>5</v>
      </c>
      <c r="K382" s="11">
        <v>2</v>
      </c>
      <c r="L382" s="57" t="s">
        <v>515</v>
      </c>
      <c r="M382" s="58" t="s">
        <v>220</v>
      </c>
      <c r="N382" s="58" t="s">
        <v>232</v>
      </c>
      <c r="O382" s="58" t="s">
        <v>931</v>
      </c>
      <c r="P382" s="3">
        <v>240</v>
      </c>
      <c r="Q382" s="126">
        <f>'приложение 5'!Q575</f>
        <v>0</v>
      </c>
      <c r="R382" s="126">
        <f>'приложение 5'!R575</f>
        <v>0</v>
      </c>
      <c r="S382" s="126">
        <f>'приложение 5'!S575</f>
        <v>0</v>
      </c>
    </row>
    <row r="383" spans="8:19" ht="18.75" hidden="1">
      <c r="H383" s="303" t="s">
        <v>934</v>
      </c>
      <c r="I383" s="263"/>
      <c r="J383" s="11">
        <v>5</v>
      </c>
      <c r="K383" s="11">
        <v>2</v>
      </c>
      <c r="L383" s="57" t="s">
        <v>515</v>
      </c>
      <c r="M383" s="58" t="s">
        <v>220</v>
      </c>
      <c r="N383" s="58" t="s">
        <v>232</v>
      </c>
      <c r="O383" s="58" t="s">
        <v>932</v>
      </c>
      <c r="P383" s="3"/>
      <c r="Q383" s="126">
        <f>Q384</f>
        <v>0</v>
      </c>
      <c r="R383" s="126">
        <f>R384</f>
        <v>0</v>
      </c>
      <c r="S383" s="126">
        <f>S384</f>
        <v>0</v>
      </c>
    </row>
    <row r="384" spans="8:19" ht="18.75" hidden="1">
      <c r="H384" s="2" t="s">
        <v>299</v>
      </c>
      <c r="I384" s="263"/>
      <c r="J384" s="11">
        <v>5</v>
      </c>
      <c r="K384" s="11">
        <v>2</v>
      </c>
      <c r="L384" s="57" t="s">
        <v>515</v>
      </c>
      <c r="M384" s="58" t="s">
        <v>220</v>
      </c>
      <c r="N384" s="58" t="s">
        <v>232</v>
      </c>
      <c r="O384" s="58" t="s">
        <v>932</v>
      </c>
      <c r="P384" s="3">
        <v>240</v>
      </c>
      <c r="Q384" s="126">
        <f>'приложение 5'!Q579</f>
        <v>0</v>
      </c>
      <c r="R384" s="126">
        <f>'приложение 5'!R579</f>
        <v>0</v>
      </c>
      <c r="S384" s="126">
        <f>'приложение 5'!S579</f>
        <v>0</v>
      </c>
    </row>
    <row r="385" spans="8:19" ht="18.75">
      <c r="H385" s="25" t="s">
        <v>561</v>
      </c>
      <c r="I385" s="343"/>
      <c r="J385" s="11">
        <v>5</v>
      </c>
      <c r="K385" s="11">
        <v>2</v>
      </c>
      <c r="L385" s="57" t="s">
        <v>515</v>
      </c>
      <c r="M385" s="58" t="s">
        <v>220</v>
      </c>
      <c r="N385" s="58" t="s">
        <v>223</v>
      </c>
      <c r="O385" s="58" t="s">
        <v>261</v>
      </c>
      <c r="P385" s="3"/>
      <c r="Q385" s="126">
        <f aca="true" t="shared" si="36" ref="Q385:S386">Q386</f>
        <v>1235</v>
      </c>
      <c r="R385" s="126">
        <f t="shared" si="36"/>
        <v>500</v>
      </c>
      <c r="S385" s="126">
        <f t="shared" si="36"/>
        <v>500</v>
      </c>
    </row>
    <row r="386" spans="8:19" ht="18.75">
      <c r="H386" s="25" t="s">
        <v>562</v>
      </c>
      <c r="I386" s="343"/>
      <c r="J386" s="11">
        <v>5</v>
      </c>
      <c r="K386" s="11">
        <v>2</v>
      </c>
      <c r="L386" s="57" t="s">
        <v>515</v>
      </c>
      <c r="M386" s="58" t="s">
        <v>220</v>
      </c>
      <c r="N386" s="58" t="s">
        <v>223</v>
      </c>
      <c r="O386" s="58" t="s">
        <v>519</v>
      </c>
      <c r="P386" s="3"/>
      <c r="Q386" s="126">
        <f t="shared" si="36"/>
        <v>1235</v>
      </c>
      <c r="R386" s="126">
        <f t="shared" si="36"/>
        <v>500</v>
      </c>
      <c r="S386" s="126">
        <f t="shared" si="36"/>
        <v>500</v>
      </c>
    </row>
    <row r="387" spans="8:19" ht="18.75">
      <c r="H387" s="2" t="s">
        <v>299</v>
      </c>
      <c r="I387" s="263"/>
      <c r="J387" s="11">
        <v>5</v>
      </c>
      <c r="K387" s="11">
        <v>2</v>
      </c>
      <c r="L387" s="57" t="s">
        <v>515</v>
      </c>
      <c r="M387" s="58" t="s">
        <v>220</v>
      </c>
      <c r="N387" s="58" t="s">
        <v>223</v>
      </c>
      <c r="O387" s="58" t="s">
        <v>519</v>
      </c>
      <c r="P387" s="3">
        <v>240</v>
      </c>
      <c r="Q387" s="126">
        <f>'приложение 5'!Q582+'приложение 5'!Q258+'приложение 5'!Q957</f>
        <v>1235</v>
      </c>
      <c r="R387" s="126">
        <f>'приложение 5'!R582+'приложение 5'!R258+'приложение 5'!R957</f>
        <v>500</v>
      </c>
      <c r="S387" s="126">
        <f>'приложение 5'!S582+'приложение 5'!S258+'приложение 5'!S957</f>
        <v>500</v>
      </c>
    </row>
    <row r="388" spans="8:19" ht="47.25">
      <c r="H388" s="2" t="s">
        <v>850</v>
      </c>
      <c r="I388" s="263"/>
      <c r="J388" s="11">
        <v>5</v>
      </c>
      <c r="K388" s="11">
        <v>2</v>
      </c>
      <c r="L388" s="57" t="s">
        <v>515</v>
      </c>
      <c r="M388" s="58" t="s">
        <v>220</v>
      </c>
      <c r="N388" s="58" t="s">
        <v>215</v>
      </c>
      <c r="O388" s="58" t="s">
        <v>261</v>
      </c>
      <c r="P388" s="7"/>
      <c r="Q388" s="124">
        <f>Q389</f>
        <v>1200</v>
      </c>
      <c r="R388" s="124">
        <f>R389</f>
        <v>2400</v>
      </c>
      <c r="S388" s="124">
        <f>S389</f>
        <v>2400</v>
      </c>
    </row>
    <row r="389" spans="8:19" ht="18.75">
      <c r="H389" s="2" t="s">
        <v>543</v>
      </c>
      <c r="I389" s="263"/>
      <c r="J389" s="11">
        <v>5</v>
      </c>
      <c r="K389" s="11">
        <v>2</v>
      </c>
      <c r="L389" s="57" t="s">
        <v>515</v>
      </c>
      <c r="M389" s="58" t="s">
        <v>220</v>
      </c>
      <c r="N389" s="58" t="s">
        <v>215</v>
      </c>
      <c r="O389" s="58" t="s">
        <v>516</v>
      </c>
      <c r="P389" s="7"/>
      <c r="Q389" s="124">
        <f>Q390+Q391</f>
        <v>1200</v>
      </c>
      <c r="R389" s="124">
        <f>R390+R391</f>
        <v>2400</v>
      </c>
      <c r="S389" s="124">
        <f>S390+S391</f>
        <v>2400</v>
      </c>
    </row>
    <row r="390" spans="8:19" ht="18.75" hidden="1">
      <c r="H390" s="2" t="s">
        <v>299</v>
      </c>
      <c r="I390" s="263"/>
      <c r="J390" s="11">
        <v>5</v>
      </c>
      <c r="K390" s="11">
        <v>2</v>
      </c>
      <c r="L390" s="57" t="s">
        <v>515</v>
      </c>
      <c r="M390" s="58" t="s">
        <v>220</v>
      </c>
      <c r="N390" s="58" t="s">
        <v>215</v>
      </c>
      <c r="O390" s="58" t="s">
        <v>516</v>
      </c>
      <c r="P390" s="7">
        <v>240</v>
      </c>
      <c r="Q390" s="124">
        <f>'приложение 5'!Q261</f>
        <v>0</v>
      </c>
      <c r="R390" s="124">
        <f>'приложение 5'!R261</f>
        <v>0</v>
      </c>
      <c r="S390" s="124">
        <f>'приложение 5'!S261</f>
        <v>0</v>
      </c>
    </row>
    <row r="391" spans="8:19" ht="31.5" hidden="1">
      <c r="H391" s="2" t="s">
        <v>359</v>
      </c>
      <c r="I391" s="263"/>
      <c r="J391" s="11">
        <v>5</v>
      </c>
      <c r="K391" s="11">
        <v>2</v>
      </c>
      <c r="L391" s="57" t="s">
        <v>515</v>
      </c>
      <c r="M391" s="58" t="s">
        <v>220</v>
      </c>
      <c r="N391" s="58" t="s">
        <v>215</v>
      </c>
      <c r="O391" s="58" t="s">
        <v>516</v>
      </c>
      <c r="P391" s="3">
        <v>810</v>
      </c>
      <c r="Q391" s="124">
        <f>'приложение 5'!Q262</f>
        <v>1200</v>
      </c>
      <c r="R391" s="124">
        <f>'приложение 5'!R262</f>
        <v>2400</v>
      </c>
      <c r="S391" s="124">
        <f>'приложение 5'!S262</f>
        <v>2400</v>
      </c>
    </row>
    <row r="392" spans="8:19" ht="31.5" hidden="1">
      <c r="H392" s="2" t="s">
        <v>879</v>
      </c>
      <c r="I392" s="263"/>
      <c r="J392" s="11">
        <v>5</v>
      </c>
      <c r="K392" s="11">
        <v>2</v>
      </c>
      <c r="L392" s="57" t="s">
        <v>515</v>
      </c>
      <c r="M392" s="58" t="s">
        <v>220</v>
      </c>
      <c r="N392" s="58" t="s">
        <v>230</v>
      </c>
      <c r="O392" s="58" t="s">
        <v>261</v>
      </c>
      <c r="P392" s="7"/>
      <c r="Q392" s="124">
        <f>Q394</f>
        <v>0</v>
      </c>
      <c r="R392" s="124">
        <v>0</v>
      </c>
      <c r="S392" s="124">
        <v>0</v>
      </c>
    </row>
    <row r="393" spans="8:19" ht="18.75" hidden="1">
      <c r="H393" s="376" t="s">
        <v>1081</v>
      </c>
      <c r="I393" s="263"/>
      <c r="J393" s="11">
        <v>5</v>
      </c>
      <c r="K393" s="11">
        <v>2</v>
      </c>
      <c r="L393" s="57" t="s">
        <v>515</v>
      </c>
      <c r="M393" s="58" t="s">
        <v>220</v>
      </c>
      <c r="N393" s="58" t="s">
        <v>230</v>
      </c>
      <c r="O393" s="58" t="s">
        <v>518</v>
      </c>
      <c r="P393" s="7"/>
      <c r="Q393" s="124">
        <f>Q394</f>
        <v>0</v>
      </c>
      <c r="R393" s="124">
        <v>0</v>
      </c>
      <c r="S393" s="124">
        <v>0</v>
      </c>
    </row>
    <row r="394" spans="8:19" ht="18.75" hidden="1">
      <c r="H394" s="2" t="str">
        <f>H390</f>
        <v>Иные закупки товаров, работ и услуг для обеспечения государственных (муниципальных) нужд</v>
      </c>
      <c r="I394" s="263"/>
      <c r="J394" s="11">
        <v>5</v>
      </c>
      <c r="K394" s="11">
        <v>2</v>
      </c>
      <c r="L394" s="57" t="s">
        <v>515</v>
      </c>
      <c r="M394" s="58" t="s">
        <v>220</v>
      </c>
      <c r="N394" s="58" t="s">
        <v>230</v>
      </c>
      <c r="O394" s="58" t="s">
        <v>518</v>
      </c>
      <c r="P394" s="7">
        <v>240</v>
      </c>
      <c r="Q394" s="124">
        <f>'приложение 5'!Q585</f>
        <v>0</v>
      </c>
      <c r="R394" s="124">
        <v>0</v>
      </c>
      <c r="S394" s="124">
        <v>0</v>
      </c>
    </row>
    <row r="395" spans="8:19" ht="18.75">
      <c r="H395" s="303" t="s">
        <v>944</v>
      </c>
      <c r="I395" s="263"/>
      <c r="J395" s="11">
        <v>5</v>
      </c>
      <c r="K395" s="11">
        <v>2</v>
      </c>
      <c r="L395" s="57" t="s">
        <v>515</v>
      </c>
      <c r="M395" s="58" t="s">
        <v>220</v>
      </c>
      <c r="N395" s="58" t="s">
        <v>240</v>
      </c>
      <c r="O395" s="58" t="s">
        <v>261</v>
      </c>
      <c r="P395" s="3"/>
      <c r="Q395" s="124">
        <f>Q396</f>
        <v>15</v>
      </c>
      <c r="R395" s="124">
        <f>R396</f>
        <v>0</v>
      </c>
      <c r="S395" s="124">
        <f>S396</f>
        <v>0</v>
      </c>
    </row>
    <row r="396" spans="8:19" ht="18.75">
      <c r="H396" s="303" t="s">
        <v>922</v>
      </c>
      <c r="I396" s="263"/>
      <c r="J396" s="11">
        <v>5</v>
      </c>
      <c r="K396" s="11">
        <v>2</v>
      </c>
      <c r="L396" s="57" t="s">
        <v>515</v>
      </c>
      <c r="M396" s="58" t="s">
        <v>220</v>
      </c>
      <c r="N396" s="58" t="s">
        <v>240</v>
      </c>
      <c r="O396" s="58" t="s">
        <v>873</v>
      </c>
      <c r="P396" s="3"/>
      <c r="Q396" s="124">
        <f>Q397+Q398</f>
        <v>15</v>
      </c>
      <c r="R396" s="124">
        <f>R397</f>
        <v>0</v>
      </c>
      <c r="S396" s="124">
        <f>S397</f>
        <v>0</v>
      </c>
    </row>
    <row r="397" spans="8:19" ht="18.75">
      <c r="H397" s="2" t="s">
        <v>299</v>
      </c>
      <c r="I397" s="263"/>
      <c r="J397" s="11">
        <v>5</v>
      </c>
      <c r="K397" s="11">
        <v>2</v>
      </c>
      <c r="L397" s="57" t="s">
        <v>515</v>
      </c>
      <c r="M397" s="58" t="s">
        <v>220</v>
      </c>
      <c r="N397" s="58" t="s">
        <v>240</v>
      </c>
      <c r="O397" s="58" t="s">
        <v>873</v>
      </c>
      <c r="P397" s="3">
        <v>240</v>
      </c>
      <c r="Q397" s="124">
        <f>'приложение 5'!Q265</f>
        <v>15</v>
      </c>
      <c r="R397" s="124">
        <f>'приложение 5'!R265</f>
        <v>0</v>
      </c>
      <c r="S397" s="124">
        <f>'приложение 5'!S265</f>
        <v>0</v>
      </c>
    </row>
    <row r="398" spans="8:19" ht="18.75" hidden="1">
      <c r="H398" s="2" t="s">
        <v>318</v>
      </c>
      <c r="I398" s="263"/>
      <c r="J398" s="11">
        <v>5</v>
      </c>
      <c r="K398" s="11">
        <v>2</v>
      </c>
      <c r="L398" s="57" t="s">
        <v>515</v>
      </c>
      <c r="M398" s="58" t="s">
        <v>220</v>
      </c>
      <c r="N398" s="58" t="s">
        <v>240</v>
      </c>
      <c r="O398" s="58" t="s">
        <v>873</v>
      </c>
      <c r="P398" s="3">
        <v>620</v>
      </c>
      <c r="Q398" s="124">
        <f>'приложение 5'!Q266</f>
        <v>0</v>
      </c>
      <c r="R398" s="124">
        <f>'приложение 5'!R266</f>
        <v>0</v>
      </c>
      <c r="S398" s="124">
        <f>'приложение 5'!S266</f>
        <v>0</v>
      </c>
    </row>
    <row r="399" spans="8:19" ht="31.5">
      <c r="H399" s="304" t="s">
        <v>950</v>
      </c>
      <c r="I399" s="263"/>
      <c r="J399" s="11">
        <v>5</v>
      </c>
      <c r="K399" s="11">
        <v>2</v>
      </c>
      <c r="L399" s="57" t="s">
        <v>515</v>
      </c>
      <c r="M399" s="58" t="s">
        <v>220</v>
      </c>
      <c r="N399" s="58" t="s">
        <v>243</v>
      </c>
      <c r="O399" s="58" t="s">
        <v>261</v>
      </c>
      <c r="P399" s="3"/>
      <c r="Q399" s="124">
        <f>Q400</f>
        <v>2992.5</v>
      </c>
      <c r="R399" s="124">
        <f>R400</f>
        <v>0</v>
      </c>
      <c r="S399" s="124">
        <f>S400</f>
        <v>0</v>
      </c>
    </row>
    <row r="400" spans="8:19" ht="18.75">
      <c r="H400" s="305" t="s">
        <v>951</v>
      </c>
      <c r="I400" s="263"/>
      <c r="J400" s="11">
        <v>5</v>
      </c>
      <c r="K400" s="11">
        <v>2</v>
      </c>
      <c r="L400" s="57" t="s">
        <v>515</v>
      </c>
      <c r="M400" s="58" t="s">
        <v>220</v>
      </c>
      <c r="N400" s="58" t="s">
        <v>243</v>
      </c>
      <c r="O400" s="58" t="s">
        <v>949</v>
      </c>
      <c r="P400" s="3"/>
      <c r="Q400" s="124">
        <f>Q401+Q402</f>
        <v>2992.5</v>
      </c>
      <c r="R400" s="124">
        <f>R401+R402</f>
        <v>0</v>
      </c>
      <c r="S400" s="124">
        <f>S401+S402</f>
        <v>0</v>
      </c>
    </row>
    <row r="401" spans="8:19" ht="18.75" hidden="1">
      <c r="H401" s="2" t="s">
        <v>299</v>
      </c>
      <c r="I401" s="263"/>
      <c r="J401" s="11">
        <v>5</v>
      </c>
      <c r="K401" s="11">
        <v>2</v>
      </c>
      <c r="L401" s="57" t="s">
        <v>515</v>
      </c>
      <c r="M401" s="58" t="s">
        <v>220</v>
      </c>
      <c r="N401" s="58" t="s">
        <v>243</v>
      </c>
      <c r="O401" s="58" t="s">
        <v>949</v>
      </c>
      <c r="P401" s="3">
        <v>620</v>
      </c>
      <c r="Q401" s="124">
        <f>'приложение 5'!Q269</f>
        <v>0</v>
      </c>
      <c r="R401" s="124">
        <f>'приложение 5'!R269</f>
        <v>0</v>
      </c>
      <c r="S401" s="124">
        <f>'приложение 5'!S269</f>
        <v>0</v>
      </c>
    </row>
    <row r="402" spans="8:19" ht="31.5">
      <c r="H402" s="2" t="s">
        <v>359</v>
      </c>
      <c r="I402" s="263"/>
      <c r="J402" s="11">
        <v>5</v>
      </c>
      <c r="K402" s="11">
        <v>2</v>
      </c>
      <c r="L402" s="57" t="s">
        <v>515</v>
      </c>
      <c r="M402" s="58" t="s">
        <v>220</v>
      </c>
      <c r="N402" s="58" t="s">
        <v>243</v>
      </c>
      <c r="O402" s="58" t="s">
        <v>949</v>
      </c>
      <c r="P402" s="3">
        <v>810</v>
      </c>
      <c r="Q402" s="124">
        <f>'приложение 5'!Q270</f>
        <v>2992.5</v>
      </c>
      <c r="R402" s="124">
        <f>'приложение 5'!R270</f>
        <v>0</v>
      </c>
      <c r="S402" s="124">
        <f>'приложение 5'!S270</f>
        <v>0</v>
      </c>
    </row>
    <row r="403" spans="8:19" ht="18.75">
      <c r="H403" s="2" t="s">
        <v>1073</v>
      </c>
      <c r="I403" s="263"/>
      <c r="J403" s="11">
        <v>5</v>
      </c>
      <c r="K403" s="11">
        <v>2</v>
      </c>
      <c r="L403" s="57" t="s">
        <v>515</v>
      </c>
      <c r="M403" s="58" t="s">
        <v>220</v>
      </c>
      <c r="N403" s="58" t="s">
        <v>241</v>
      </c>
      <c r="O403" s="58" t="s">
        <v>261</v>
      </c>
      <c r="P403" s="3"/>
      <c r="Q403" s="124">
        <f aca="true" t="shared" si="37" ref="Q403:S404">Q404</f>
        <v>836.7</v>
      </c>
      <c r="R403" s="124">
        <f t="shared" si="37"/>
        <v>0</v>
      </c>
      <c r="S403" s="124">
        <f t="shared" si="37"/>
        <v>0</v>
      </c>
    </row>
    <row r="404" spans="8:19" ht="31.5">
      <c r="H404" s="2" t="s">
        <v>1074</v>
      </c>
      <c r="I404" s="263"/>
      <c r="J404" s="11">
        <v>5</v>
      </c>
      <c r="K404" s="11">
        <v>2</v>
      </c>
      <c r="L404" s="57" t="s">
        <v>515</v>
      </c>
      <c r="M404" s="58" t="s">
        <v>220</v>
      </c>
      <c r="N404" s="58" t="s">
        <v>241</v>
      </c>
      <c r="O404" s="58" t="s">
        <v>1072</v>
      </c>
      <c r="P404" s="3"/>
      <c r="Q404" s="124">
        <f t="shared" si="37"/>
        <v>836.7</v>
      </c>
      <c r="R404" s="124">
        <f t="shared" si="37"/>
        <v>0</v>
      </c>
      <c r="S404" s="124">
        <f t="shared" si="37"/>
        <v>0</v>
      </c>
    </row>
    <row r="405" spans="8:19" ht="18.75">
      <c r="H405" s="2" t="s">
        <v>299</v>
      </c>
      <c r="I405" s="263"/>
      <c r="J405" s="11">
        <v>5</v>
      </c>
      <c r="K405" s="11">
        <v>2</v>
      </c>
      <c r="L405" s="57" t="s">
        <v>515</v>
      </c>
      <c r="M405" s="58" t="s">
        <v>220</v>
      </c>
      <c r="N405" s="58" t="s">
        <v>241</v>
      </c>
      <c r="O405" s="58" t="s">
        <v>1072</v>
      </c>
      <c r="P405" s="3">
        <v>240</v>
      </c>
      <c r="Q405" s="124">
        <f>'приложение 5'!Q273</f>
        <v>836.7</v>
      </c>
      <c r="R405" s="124">
        <f>'приложение 5'!R273</f>
        <v>0</v>
      </c>
      <c r="S405" s="124">
        <f>'приложение 5'!S273</f>
        <v>0</v>
      </c>
    </row>
    <row r="406" spans="8:19" ht="19.5">
      <c r="H406" s="222" t="s">
        <v>21</v>
      </c>
      <c r="I406" s="342"/>
      <c r="J406" s="86">
        <v>5</v>
      </c>
      <c r="K406" s="86">
        <v>3</v>
      </c>
      <c r="L406" s="87"/>
      <c r="M406" s="88"/>
      <c r="N406" s="88"/>
      <c r="O406" s="88"/>
      <c r="P406" s="85"/>
      <c r="Q406" s="123">
        <f>Q407+Q447+Q469+Q424</f>
        <v>75121.4</v>
      </c>
      <c r="R406" s="123">
        <f>R407+R447+R469+R424</f>
        <v>31717.899999999998</v>
      </c>
      <c r="S406" s="123">
        <f>S407+S447+S469+S424</f>
        <v>28239.199999999997</v>
      </c>
    </row>
    <row r="407" spans="8:19" ht="31.5">
      <c r="H407" s="2" t="s">
        <v>546</v>
      </c>
      <c r="I407" s="281"/>
      <c r="J407" s="11">
        <v>5</v>
      </c>
      <c r="K407" s="11">
        <v>3</v>
      </c>
      <c r="L407" s="57" t="s">
        <v>241</v>
      </c>
      <c r="M407" s="58" t="s">
        <v>220</v>
      </c>
      <c r="N407" s="58" t="s">
        <v>229</v>
      </c>
      <c r="O407" s="58" t="s">
        <v>261</v>
      </c>
      <c r="P407" s="3"/>
      <c r="Q407" s="126">
        <f>Q408+Q421</f>
        <v>19064</v>
      </c>
      <c r="R407" s="126">
        <f>R408+R421</f>
        <v>630</v>
      </c>
      <c r="S407" s="126">
        <f>S408+S421</f>
        <v>620</v>
      </c>
    </row>
    <row r="408" spans="8:19" ht="18.75">
      <c r="H408" s="22" t="s">
        <v>1093</v>
      </c>
      <c r="I408" s="339"/>
      <c r="J408" s="11">
        <v>5</v>
      </c>
      <c r="K408" s="11">
        <v>3</v>
      </c>
      <c r="L408" s="57" t="s">
        <v>241</v>
      </c>
      <c r="M408" s="58" t="s">
        <v>220</v>
      </c>
      <c r="N408" s="58" t="s">
        <v>345</v>
      </c>
      <c r="O408" s="58" t="s">
        <v>261</v>
      </c>
      <c r="P408" s="3"/>
      <c r="Q408" s="126">
        <f>Q409+Q411+Q417+Q413+Q415+Q419</f>
        <v>13706.199999999999</v>
      </c>
      <c r="R408" s="126">
        <f>R409+R411+R417+R413+R415+R419</f>
        <v>630</v>
      </c>
      <c r="S408" s="126">
        <f>S409+S411+S417+S413+S415+S419</f>
        <v>620</v>
      </c>
    </row>
    <row r="409" spans="8:19" ht="18.75">
      <c r="H409" s="2" t="s">
        <v>565</v>
      </c>
      <c r="I409" s="263"/>
      <c r="J409" s="11">
        <v>5</v>
      </c>
      <c r="K409" s="11">
        <v>3</v>
      </c>
      <c r="L409" s="57" t="s">
        <v>241</v>
      </c>
      <c r="M409" s="58" t="s">
        <v>220</v>
      </c>
      <c r="N409" s="58" t="s">
        <v>345</v>
      </c>
      <c r="O409" s="58" t="s">
        <v>505</v>
      </c>
      <c r="P409" s="3"/>
      <c r="Q409" s="126">
        <f>Q410</f>
        <v>120</v>
      </c>
      <c r="R409" s="126">
        <f>R410</f>
        <v>130</v>
      </c>
      <c r="S409" s="126">
        <f>S410</f>
        <v>120</v>
      </c>
    </row>
    <row r="410" spans="8:19" ht="18.75">
      <c r="H410" s="2" t="s">
        <v>299</v>
      </c>
      <c r="I410" s="263"/>
      <c r="J410" s="11">
        <v>5</v>
      </c>
      <c r="K410" s="11">
        <v>3</v>
      </c>
      <c r="L410" s="57" t="s">
        <v>241</v>
      </c>
      <c r="M410" s="58" t="s">
        <v>220</v>
      </c>
      <c r="N410" s="58" t="s">
        <v>345</v>
      </c>
      <c r="O410" s="58" t="s">
        <v>505</v>
      </c>
      <c r="P410" s="3">
        <v>240</v>
      </c>
      <c r="Q410" s="126">
        <f>'приложение 5'!Q590</f>
        <v>120</v>
      </c>
      <c r="R410" s="126">
        <f>'приложение 5'!R590</f>
        <v>130</v>
      </c>
      <c r="S410" s="126">
        <f>'приложение 5'!S590</f>
        <v>120</v>
      </c>
    </row>
    <row r="411" spans="8:19" ht="18.75">
      <c r="H411" s="108" t="s">
        <v>547</v>
      </c>
      <c r="I411" s="339"/>
      <c r="J411" s="11">
        <v>5</v>
      </c>
      <c r="K411" s="11">
        <v>3</v>
      </c>
      <c r="L411" s="57" t="s">
        <v>241</v>
      </c>
      <c r="M411" s="58" t="s">
        <v>220</v>
      </c>
      <c r="N411" s="58" t="s">
        <v>345</v>
      </c>
      <c r="O411" s="58" t="s">
        <v>346</v>
      </c>
      <c r="P411" s="7"/>
      <c r="Q411" s="124">
        <f>Q412</f>
        <v>8730.8</v>
      </c>
      <c r="R411" s="124">
        <f>R412</f>
        <v>0</v>
      </c>
      <c r="S411" s="124">
        <f>S412</f>
        <v>0</v>
      </c>
    </row>
    <row r="412" spans="8:19" ht="18.75">
      <c r="H412" s="2" t="s">
        <v>299</v>
      </c>
      <c r="I412" s="263"/>
      <c r="J412" s="11">
        <v>5</v>
      </c>
      <c r="K412" s="11">
        <v>3</v>
      </c>
      <c r="L412" s="57" t="s">
        <v>241</v>
      </c>
      <c r="M412" s="58" t="s">
        <v>220</v>
      </c>
      <c r="N412" s="58" t="s">
        <v>345</v>
      </c>
      <c r="O412" s="58" t="s">
        <v>346</v>
      </c>
      <c r="P412" s="7">
        <v>240</v>
      </c>
      <c r="Q412" s="124">
        <f>'приложение 5'!Q278+'приложение 5'!Q592</f>
        <v>8730.8</v>
      </c>
      <c r="R412" s="124">
        <f>'приложение 5'!R278+'приложение 5'!R592</f>
        <v>0</v>
      </c>
      <c r="S412" s="124">
        <f>'приложение 5'!S278+'приложение 5'!S592</f>
        <v>0</v>
      </c>
    </row>
    <row r="413" spans="8:19" ht="19.5" customHeight="1" hidden="1">
      <c r="H413" s="2" t="s">
        <v>569</v>
      </c>
      <c r="I413" s="263"/>
      <c r="J413" s="11">
        <v>5</v>
      </c>
      <c r="K413" s="11">
        <v>3</v>
      </c>
      <c r="L413" s="57" t="s">
        <v>241</v>
      </c>
      <c r="M413" s="58" t="s">
        <v>220</v>
      </c>
      <c r="N413" s="58" t="s">
        <v>345</v>
      </c>
      <c r="O413" s="58" t="s">
        <v>509</v>
      </c>
      <c r="P413" s="3"/>
      <c r="Q413" s="124">
        <f>Q414</f>
        <v>0</v>
      </c>
      <c r="R413" s="124">
        <f>R414</f>
        <v>0</v>
      </c>
      <c r="S413" s="124">
        <f>S414</f>
        <v>0</v>
      </c>
    </row>
    <row r="414" spans="8:19" ht="18.75" hidden="1">
      <c r="H414" s="2" t="s">
        <v>299</v>
      </c>
      <c r="I414" s="263"/>
      <c r="J414" s="11">
        <v>5</v>
      </c>
      <c r="K414" s="11">
        <v>3</v>
      </c>
      <c r="L414" s="57" t="s">
        <v>241</v>
      </c>
      <c r="M414" s="58" t="s">
        <v>220</v>
      </c>
      <c r="N414" s="58" t="s">
        <v>345</v>
      </c>
      <c r="O414" s="58" t="s">
        <v>509</v>
      </c>
      <c r="P414" s="3">
        <v>240</v>
      </c>
      <c r="Q414" s="124">
        <f>'приложение 5'!Q594</f>
        <v>0</v>
      </c>
      <c r="R414" s="124">
        <f>'приложение 5'!R594</f>
        <v>0</v>
      </c>
      <c r="S414" s="124">
        <v>0</v>
      </c>
    </row>
    <row r="415" spans="8:19" ht="18.75">
      <c r="H415" s="2" t="s">
        <v>979</v>
      </c>
      <c r="I415" s="263"/>
      <c r="J415" s="11">
        <v>5</v>
      </c>
      <c r="K415" s="11">
        <v>3</v>
      </c>
      <c r="L415" s="57" t="s">
        <v>241</v>
      </c>
      <c r="M415" s="58" t="s">
        <v>220</v>
      </c>
      <c r="N415" s="58" t="s">
        <v>345</v>
      </c>
      <c r="O415" s="58" t="s">
        <v>980</v>
      </c>
      <c r="P415" s="7"/>
      <c r="Q415" s="124">
        <f>Q416</f>
        <v>4355.4</v>
      </c>
      <c r="R415" s="124">
        <f>R416</f>
        <v>0</v>
      </c>
      <c r="S415" s="124">
        <f>S416</f>
        <v>0</v>
      </c>
    </row>
    <row r="416" spans="8:19" ht="18.75">
      <c r="H416" s="2" t="s">
        <v>299</v>
      </c>
      <c r="I416" s="263"/>
      <c r="J416" s="11">
        <v>5</v>
      </c>
      <c r="K416" s="11">
        <v>3</v>
      </c>
      <c r="L416" s="57" t="s">
        <v>241</v>
      </c>
      <c r="M416" s="58" t="s">
        <v>220</v>
      </c>
      <c r="N416" s="58" t="s">
        <v>345</v>
      </c>
      <c r="O416" s="58" t="s">
        <v>980</v>
      </c>
      <c r="P416" s="3">
        <v>240</v>
      </c>
      <c r="Q416" s="124">
        <f>'приложение 5'!Q596</f>
        <v>4355.4</v>
      </c>
      <c r="R416" s="124">
        <f>'приложение 5'!R596</f>
        <v>0</v>
      </c>
      <c r="S416" s="124">
        <f>'приложение 5'!S596</f>
        <v>0</v>
      </c>
    </row>
    <row r="417" spans="8:19" ht="18.75">
      <c r="H417" s="2" t="s">
        <v>566</v>
      </c>
      <c r="I417" s="263"/>
      <c r="J417" s="11">
        <v>5</v>
      </c>
      <c r="K417" s="11">
        <v>3</v>
      </c>
      <c r="L417" s="57" t="s">
        <v>241</v>
      </c>
      <c r="M417" s="58" t="s">
        <v>220</v>
      </c>
      <c r="N417" s="58" t="s">
        <v>345</v>
      </c>
      <c r="O417" s="58" t="s">
        <v>506</v>
      </c>
      <c r="P417" s="7"/>
      <c r="Q417" s="124">
        <f>Q418</f>
        <v>500</v>
      </c>
      <c r="R417" s="124">
        <f>R418</f>
        <v>500</v>
      </c>
      <c r="S417" s="124">
        <f>S418</f>
        <v>500</v>
      </c>
    </row>
    <row r="418" spans="8:19" ht="18.75">
      <c r="H418" s="2" t="s">
        <v>299</v>
      </c>
      <c r="I418" s="263"/>
      <c r="J418" s="11">
        <v>5</v>
      </c>
      <c r="K418" s="11">
        <v>3</v>
      </c>
      <c r="L418" s="57" t="s">
        <v>241</v>
      </c>
      <c r="M418" s="58" t="s">
        <v>220</v>
      </c>
      <c r="N418" s="58" t="s">
        <v>345</v>
      </c>
      <c r="O418" s="58" t="s">
        <v>506</v>
      </c>
      <c r="P418" s="3">
        <v>240</v>
      </c>
      <c r="Q418" s="126">
        <f>'приложение 5'!Q598</f>
        <v>500</v>
      </c>
      <c r="R418" s="126">
        <f>'приложение 5'!R598</f>
        <v>500</v>
      </c>
      <c r="S418" s="126">
        <f>'приложение 5'!S598</f>
        <v>500</v>
      </c>
    </row>
    <row r="419" spans="8:19" ht="18.75" hidden="1">
      <c r="H419" s="2" t="s">
        <v>1018</v>
      </c>
      <c r="I419" s="263"/>
      <c r="J419" s="11">
        <v>5</v>
      </c>
      <c r="K419" s="11">
        <v>3</v>
      </c>
      <c r="L419" s="57" t="s">
        <v>241</v>
      </c>
      <c r="M419" s="58" t="s">
        <v>220</v>
      </c>
      <c r="N419" s="58" t="s">
        <v>345</v>
      </c>
      <c r="O419" s="58" t="s">
        <v>1017</v>
      </c>
      <c r="P419" s="3"/>
      <c r="Q419" s="126">
        <f>Q420</f>
        <v>0</v>
      </c>
      <c r="R419" s="126">
        <f>R420</f>
        <v>0</v>
      </c>
      <c r="S419" s="126">
        <f>S420</f>
        <v>0</v>
      </c>
    </row>
    <row r="420" spans="8:19" ht="18.75" hidden="1">
      <c r="H420" s="2" t="s">
        <v>299</v>
      </c>
      <c r="I420" s="263"/>
      <c r="J420" s="11">
        <v>5</v>
      </c>
      <c r="K420" s="11">
        <v>3</v>
      </c>
      <c r="L420" s="57" t="s">
        <v>241</v>
      </c>
      <c r="M420" s="58" t="s">
        <v>220</v>
      </c>
      <c r="N420" s="58" t="s">
        <v>345</v>
      </c>
      <c r="O420" s="58" t="s">
        <v>1017</v>
      </c>
      <c r="P420" s="3">
        <v>240</v>
      </c>
      <c r="Q420" s="126">
        <f>'приложение 5'!Q600</f>
        <v>0</v>
      </c>
      <c r="R420" s="126">
        <f>'приложение 5'!R600</f>
        <v>0</v>
      </c>
      <c r="S420" s="126">
        <f>'приложение 5'!S600</f>
        <v>0</v>
      </c>
    </row>
    <row r="421" spans="8:19" ht="18.75">
      <c r="H421" s="2" t="s">
        <v>1059</v>
      </c>
      <c r="I421" s="263"/>
      <c r="J421" s="11">
        <v>5</v>
      </c>
      <c r="K421" s="11">
        <v>3</v>
      </c>
      <c r="L421" s="57" t="s">
        <v>241</v>
      </c>
      <c r="M421" s="58" t="s">
        <v>220</v>
      </c>
      <c r="N421" s="58" t="s">
        <v>236</v>
      </c>
      <c r="O421" s="58" t="s">
        <v>261</v>
      </c>
      <c r="P421" s="3"/>
      <c r="Q421" s="126">
        <f aca="true" t="shared" si="38" ref="Q421:S422">Q422</f>
        <v>5357.8</v>
      </c>
      <c r="R421" s="126">
        <f t="shared" si="38"/>
        <v>0</v>
      </c>
      <c r="S421" s="126">
        <f t="shared" si="38"/>
        <v>0</v>
      </c>
    </row>
    <row r="422" spans="8:19" ht="18.75">
      <c r="H422" s="2" t="s">
        <v>1018</v>
      </c>
      <c r="I422" s="263"/>
      <c r="J422" s="11">
        <v>5</v>
      </c>
      <c r="K422" s="11">
        <v>3</v>
      </c>
      <c r="L422" s="57" t="s">
        <v>241</v>
      </c>
      <c r="M422" s="58" t="s">
        <v>220</v>
      </c>
      <c r="N422" s="58" t="s">
        <v>236</v>
      </c>
      <c r="O422" s="58" t="s">
        <v>1060</v>
      </c>
      <c r="P422" s="3"/>
      <c r="Q422" s="126">
        <f t="shared" si="38"/>
        <v>5357.8</v>
      </c>
      <c r="R422" s="126">
        <f t="shared" si="38"/>
        <v>0</v>
      </c>
      <c r="S422" s="126">
        <f t="shared" si="38"/>
        <v>0</v>
      </c>
    </row>
    <row r="423" spans="8:19" ht="18.75">
      <c r="H423" s="2" t="s">
        <v>299</v>
      </c>
      <c r="I423" s="263"/>
      <c r="J423" s="11">
        <v>5</v>
      </c>
      <c r="K423" s="11">
        <v>3</v>
      </c>
      <c r="L423" s="57" t="s">
        <v>241</v>
      </c>
      <c r="M423" s="58" t="s">
        <v>220</v>
      </c>
      <c r="N423" s="58" t="s">
        <v>236</v>
      </c>
      <c r="O423" s="58" t="s">
        <v>1060</v>
      </c>
      <c r="P423" s="3">
        <v>240</v>
      </c>
      <c r="Q423" s="126">
        <f>'приложение 5'!Q603</f>
        <v>5357.8</v>
      </c>
      <c r="R423" s="126">
        <f>'приложение 5'!R603</f>
        <v>0</v>
      </c>
      <c r="S423" s="126">
        <f>'приложение 5'!S603</f>
        <v>0</v>
      </c>
    </row>
    <row r="424" spans="8:19" ht="31.5">
      <c r="H424" s="2" t="s">
        <v>522</v>
      </c>
      <c r="I424" s="263"/>
      <c r="J424" s="11">
        <v>5</v>
      </c>
      <c r="K424" s="11">
        <v>3</v>
      </c>
      <c r="L424" s="57" t="s">
        <v>494</v>
      </c>
      <c r="M424" s="58" t="s">
        <v>220</v>
      </c>
      <c r="N424" s="58" t="s">
        <v>229</v>
      </c>
      <c r="O424" s="58" t="s">
        <v>261</v>
      </c>
      <c r="P424" s="3"/>
      <c r="Q424" s="126">
        <f>Q428+Q425+Q437+Q442</f>
        <v>24039.7</v>
      </c>
      <c r="R424" s="126">
        <f>R428+R425+R437+R443</f>
        <v>600</v>
      </c>
      <c r="S424" s="126">
        <f>S428+S425+S437+S443</f>
        <v>500</v>
      </c>
    </row>
    <row r="425" spans="8:19" ht="31.5" hidden="1">
      <c r="H425" s="2" t="s">
        <v>523</v>
      </c>
      <c r="I425" s="9">
        <v>668</v>
      </c>
      <c r="J425" s="11">
        <v>5</v>
      </c>
      <c r="K425" s="11">
        <v>3</v>
      </c>
      <c r="L425" s="57" t="s">
        <v>494</v>
      </c>
      <c r="M425" s="58" t="s">
        <v>220</v>
      </c>
      <c r="N425" s="58" t="s">
        <v>221</v>
      </c>
      <c r="O425" s="58" t="s">
        <v>261</v>
      </c>
      <c r="P425" s="3"/>
      <c r="Q425" s="126">
        <f aca="true" t="shared" si="39" ref="Q425:S426">Q426</f>
        <v>0</v>
      </c>
      <c r="R425" s="126">
        <f t="shared" si="39"/>
        <v>0</v>
      </c>
      <c r="S425" s="126">
        <f t="shared" si="39"/>
        <v>0</v>
      </c>
    </row>
    <row r="426" spans="8:19" ht="18.75" hidden="1">
      <c r="H426" s="26" t="s">
        <v>462</v>
      </c>
      <c r="I426" s="9">
        <v>668</v>
      </c>
      <c r="J426" s="11">
        <v>5</v>
      </c>
      <c r="K426" s="11">
        <v>3</v>
      </c>
      <c r="L426" s="57" t="s">
        <v>494</v>
      </c>
      <c r="M426" s="58" t="s">
        <v>220</v>
      </c>
      <c r="N426" s="58" t="s">
        <v>221</v>
      </c>
      <c r="O426" s="58" t="s">
        <v>316</v>
      </c>
      <c r="P426" s="3"/>
      <c r="Q426" s="126">
        <f t="shared" si="39"/>
        <v>0</v>
      </c>
      <c r="R426" s="126">
        <f t="shared" si="39"/>
        <v>0</v>
      </c>
      <c r="S426" s="126">
        <f t="shared" si="39"/>
        <v>0</v>
      </c>
    </row>
    <row r="427" spans="8:19" ht="18.75" hidden="1">
      <c r="H427" s="2" t="s">
        <v>299</v>
      </c>
      <c r="I427" s="9">
        <v>668</v>
      </c>
      <c r="J427" s="11">
        <v>5</v>
      </c>
      <c r="K427" s="11">
        <v>3</v>
      </c>
      <c r="L427" s="57" t="s">
        <v>494</v>
      </c>
      <c r="M427" s="58" t="s">
        <v>220</v>
      </c>
      <c r="N427" s="58" t="s">
        <v>221</v>
      </c>
      <c r="O427" s="58" t="s">
        <v>316</v>
      </c>
      <c r="P427" s="3">
        <v>240</v>
      </c>
      <c r="Q427" s="126">
        <f>'приложение 5'!Q282</f>
        <v>0</v>
      </c>
      <c r="R427" s="126">
        <f>'приложение 5'!R282</f>
        <v>0</v>
      </c>
      <c r="S427" s="126">
        <f>'приложение 5'!S282</f>
        <v>0</v>
      </c>
    </row>
    <row r="428" spans="8:19" ht="31.5">
      <c r="H428" s="2" t="s">
        <v>894</v>
      </c>
      <c r="I428" s="263"/>
      <c r="J428" s="11">
        <v>5</v>
      </c>
      <c r="K428" s="11">
        <v>3</v>
      </c>
      <c r="L428" s="57" t="s">
        <v>494</v>
      </c>
      <c r="M428" s="58" t="s">
        <v>220</v>
      </c>
      <c r="N428" s="58" t="s">
        <v>236</v>
      </c>
      <c r="O428" s="58" t="s">
        <v>261</v>
      </c>
      <c r="P428" s="3"/>
      <c r="Q428" s="126">
        <f>Q431+Q433+Q429+Q435</f>
        <v>7632.5</v>
      </c>
      <c r="R428" s="126">
        <f>R431+R433+R429+R435</f>
        <v>600</v>
      </c>
      <c r="S428" s="126">
        <f>S431+S433+S429+S435</f>
        <v>500</v>
      </c>
    </row>
    <row r="429" spans="8:19" ht="18.75" hidden="1">
      <c r="H429" s="2" t="s">
        <v>299</v>
      </c>
      <c r="I429" s="263"/>
      <c r="J429" s="11">
        <v>5</v>
      </c>
      <c r="K429" s="11">
        <v>3</v>
      </c>
      <c r="L429" s="57" t="s">
        <v>494</v>
      </c>
      <c r="M429" s="58" t="s">
        <v>220</v>
      </c>
      <c r="N429" s="58" t="s">
        <v>236</v>
      </c>
      <c r="O429" s="58" t="s">
        <v>264</v>
      </c>
      <c r="P429" s="3"/>
      <c r="Q429" s="126">
        <f>Q430</f>
        <v>0</v>
      </c>
      <c r="R429" s="126">
        <f>R430</f>
        <v>0</v>
      </c>
      <c r="S429" s="126">
        <f>S430</f>
        <v>0</v>
      </c>
    </row>
    <row r="430" spans="8:19" ht="18.75" hidden="1">
      <c r="H430" s="2" t="s">
        <v>300</v>
      </c>
      <c r="I430" s="263"/>
      <c r="J430" s="11">
        <v>5</v>
      </c>
      <c r="K430" s="11">
        <v>3</v>
      </c>
      <c r="L430" s="57" t="s">
        <v>494</v>
      </c>
      <c r="M430" s="58" t="s">
        <v>220</v>
      </c>
      <c r="N430" s="58" t="s">
        <v>236</v>
      </c>
      <c r="O430" s="58" t="s">
        <v>264</v>
      </c>
      <c r="P430" s="3">
        <v>850</v>
      </c>
      <c r="Q430" s="126">
        <f>'приложение 5'!Q607</f>
        <v>0</v>
      </c>
      <c r="R430" s="126">
        <f>'приложение 5'!R607</f>
        <v>0</v>
      </c>
      <c r="S430" s="126">
        <f>'приложение 5'!S607</f>
        <v>0</v>
      </c>
    </row>
    <row r="431" spans="8:19" ht="18.75">
      <c r="H431" s="2" t="s">
        <v>62</v>
      </c>
      <c r="I431" s="263"/>
      <c r="J431" s="11">
        <v>5</v>
      </c>
      <c r="K431" s="11">
        <v>3</v>
      </c>
      <c r="L431" s="57" t="s">
        <v>494</v>
      </c>
      <c r="M431" s="58" t="s">
        <v>220</v>
      </c>
      <c r="N431" s="58" t="s">
        <v>236</v>
      </c>
      <c r="O431" s="58" t="s">
        <v>63</v>
      </c>
      <c r="P431" s="3"/>
      <c r="Q431" s="126">
        <f>Q432</f>
        <v>2332.5</v>
      </c>
      <c r="R431" s="126">
        <f>R432</f>
        <v>600</v>
      </c>
      <c r="S431" s="126">
        <f>S432</f>
        <v>500</v>
      </c>
    </row>
    <row r="432" spans="8:19" ht="18.75">
      <c r="H432" s="2" t="s">
        <v>301</v>
      </c>
      <c r="I432" s="263"/>
      <c r="J432" s="11">
        <v>5</v>
      </c>
      <c r="K432" s="11">
        <v>3</v>
      </c>
      <c r="L432" s="57" t="s">
        <v>494</v>
      </c>
      <c r="M432" s="58" t="s">
        <v>220</v>
      </c>
      <c r="N432" s="58" t="s">
        <v>236</v>
      </c>
      <c r="O432" s="58" t="s">
        <v>63</v>
      </c>
      <c r="P432" s="3">
        <v>610</v>
      </c>
      <c r="Q432" s="126">
        <f>'приложение 5'!Q609</f>
        <v>2332.5</v>
      </c>
      <c r="R432" s="126">
        <f>'приложение 5'!R609</f>
        <v>600</v>
      </c>
      <c r="S432" s="126">
        <f>'приложение 5'!S609</f>
        <v>500</v>
      </c>
    </row>
    <row r="433" spans="8:19" ht="18.75" hidden="1">
      <c r="H433" s="26" t="s">
        <v>462</v>
      </c>
      <c r="I433" s="263"/>
      <c r="J433" s="11">
        <v>5</v>
      </c>
      <c r="K433" s="11">
        <v>3</v>
      </c>
      <c r="L433" s="57" t="s">
        <v>494</v>
      </c>
      <c r="M433" s="58" t="s">
        <v>220</v>
      </c>
      <c r="N433" s="58" t="s">
        <v>236</v>
      </c>
      <c r="O433" s="58" t="s">
        <v>926</v>
      </c>
      <c r="P433" s="3"/>
      <c r="Q433" s="126">
        <f>Q434</f>
        <v>0</v>
      </c>
      <c r="R433" s="126">
        <f>R434</f>
        <v>0</v>
      </c>
      <c r="S433" s="126">
        <f>S434</f>
        <v>0</v>
      </c>
    </row>
    <row r="434" spans="8:19" ht="18.75" hidden="1">
      <c r="H434" s="2" t="s">
        <v>299</v>
      </c>
      <c r="I434" s="263"/>
      <c r="J434" s="11">
        <v>5</v>
      </c>
      <c r="K434" s="11">
        <v>3</v>
      </c>
      <c r="L434" s="57" t="s">
        <v>494</v>
      </c>
      <c r="M434" s="58" t="s">
        <v>220</v>
      </c>
      <c r="N434" s="58" t="s">
        <v>236</v>
      </c>
      <c r="O434" s="58" t="s">
        <v>926</v>
      </c>
      <c r="P434" s="3">
        <v>240</v>
      </c>
      <c r="Q434" s="126">
        <f>'приложение 5'!Q611</f>
        <v>0</v>
      </c>
      <c r="R434" s="126">
        <f>'приложение 5'!R611</f>
        <v>0</v>
      </c>
      <c r="S434" s="126">
        <f>'приложение 5'!S611</f>
        <v>0</v>
      </c>
    </row>
    <row r="435" spans="8:19" ht="18.75">
      <c r="H435" s="303" t="s">
        <v>462</v>
      </c>
      <c r="I435" s="263"/>
      <c r="J435" s="11">
        <v>5</v>
      </c>
      <c r="K435" s="11">
        <v>3</v>
      </c>
      <c r="L435" s="57" t="s">
        <v>494</v>
      </c>
      <c r="M435" s="58" t="s">
        <v>220</v>
      </c>
      <c r="N435" s="58" t="s">
        <v>236</v>
      </c>
      <c r="O435" s="58" t="s">
        <v>316</v>
      </c>
      <c r="P435" s="3"/>
      <c r="Q435" s="126">
        <f>Q436</f>
        <v>5300</v>
      </c>
      <c r="R435" s="126">
        <f>R436</f>
        <v>0</v>
      </c>
      <c r="S435" s="126">
        <f>S436</f>
        <v>0</v>
      </c>
    </row>
    <row r="436" spans="8:19" ht="18.75">
      <c r="H436" s="2" t="s">
        <v>299</v>
      </c>
      <c r="I436" s="263"/>
      <c r="J436" s="11">
        <v>5</v>
      </c>
      <c r="K436" s="11">
        <v>3</v>
      </c>
      <c r="L436" s="57" t="s">
        <v>494</v>
      </c>
      <c r="M436" s="58" t="s">
        <v>220</v>
      </c>
      <c r="N436" s="58" t="s">
        <v>236</v>
      </c>
      <c r="O436" s="58" t="s">
        <v>316</v>
      </c>
      <c r="P436" s="3">
        <v>240</v>
      </c>
      <c r="Q436" s="126">
        <f>'приложение 5'!Q613</f>
        <v>5300</v>
      </c>
      <c r="R436" s="126">
        <f>'приложение 5'!R613</f>
        <v>0</v>
      </c>
      <c r="S436" s="126">
        <f>'приложение 5'!S613</f>
        <v>0</v>
      </c>
    </row>
    <row r="437" spans="8:19" ht="31.5">
      <c r="H437" s="2" t="s">
        <v>900</v>
      </c>
      <c r="I437" s="263"/>
      <c r="J437" s="11">
        <v>5</v>
      </c>
      <c r="K437" s="11">
        <v>3</v>
      </c>
      <c r="L437" s="57" t="s">
        <v>494</v>
      </c>
      <c r="M437" s="58" t="s">
        <v>220</v>
      </c>
      <c r="N437" s="58" t="s">
        <v>237</v>
      </c>
      <c r="O437" s="58" t="s">
        <v>261</v>
      </c>
      <c r="P437" s="6"/>
      <c r="Q437" s="126">
        <f>Q438+Q440</f>
        <v>3590</v>
      </c>
      <c r="R437" s="126">
        <f>R438+R440</f>
        <v>0</v>
      </c>
      <c r="S437" s="126">
        <f>S438+S440</f>
        <v>0</v>
      </c>
    </row>
    <row r="438" spans="8:19" ht="18.75" hidden="1">
      <c r="H438" s="26" t="s">
        <v>462</v>
      </c>
      <c r="I438" s="263"/>
      <c r="J438" s="11">
        <v>5</v>
      </c>
      <c r="K438" s="11">
        <v>3</v>
      </c>
      <c r="L438" s="57" t="s">
        <v>494</v>
      </c>
      <c r="M438" s="58" t="s">
        <v>220</v>
      </c>
      <c r="N438" s="58" t="s">
        <v>237</v>
      </c>
      <c r="O438" s="58" t="s">
        <v>926</v>
      </c>
      <c r="P438" s="6"/>
      <c r="Q438" s="126">
        <f>Q439</f>
        <v>0</v>
      </c>
      <c r="R438" s="126">
        <f>R439</f>
        <v>0</v>
      </c>
      <c r="S438" s="126">
        <f>S439</f>
        <v>0</v>
      </c>
    </row>
    <row r="439" spans="8:19" ht="18.75" hidden="1">
      <c r="H439" s="2" t="s">
        <v>299</v>
      </c>
      <c r="I439" s="263"/>
      <c r="J439" s="11">
        <v>5</v>
      </c>
      <c r="K439" s="11">
        <v>3</v>
      </c>
      <c r="L439" s="57" t="s">
        <v>494</v>
      </c>
      <c r="M439" s="58" t="s">
        <v>220</v>
      </c>
      <c r="N439" s="58" t="s">
        <v>237</v>
      </c>
      <c r="O439" s="58" t="s">
        <v>926</v>
      </c>
      <c r="P439" s="3">
        <v>240</v>
      </c>
      <c r="Q439" s="126">
        <f>'приложение 5'!Q962</f>
        <v>0</v>
      </c>
      <c r="R439" s="126">
        <f>'приложение 5'!R962</f>
        <v>0</v>
      </c>
      <c r="S439" s="126">
        <f>'приложение 5'!S962</f>
        <v>0</v>
      </c>
    </row>
    <row r="440" spans="8:19" ht="18.75">
      <c r="H440" s="303" t="s">
        <v>462</v>
      </c>
      <c r="I440" s="263"/>
      <c r="J440" s="11">
        <v>5</v>
      </c>
      <c r="K440" s="11">
        <v>3</v>
      </c>
      <c r="L440" s="57" t="s">
        <v>494</v>
      </c>
      <c r="M440" s="58" t="s">
        <v>220</v>
      </c>
      <c r="N440" s="58" t="s">
        <v>237</v>
      </c>
      <c r="O440" s="58" t="s">
        <v>316</v>
      </c>
      <c r="P440" s="3"/>
      <c r="Q440" s="126">
        <f>Q441</f>
        <v>3590</v>
      </c>
      <c r="R440" s="126">
        <f>R441</f>
        <v>0</v>
      </c>
      <c r="S440" s="126">
        <f>S441</f>
        <v>0</v>
      </c>
    </row>
    <row r="441" spans="8:19" ht="18.75">
      <c r="H441" s="2" t="s">
        <v>299</v>
      </c>
      <c r="I441" s="263"/>
      <c r="J441" s="11">
        <v>5</v>
      </c>
      <c r="K441" s="11">
        <v>3</v>
      </c>
      <c r="L441" s="57" t="s">
        <v>494</v>
      </c>
      <c r="M441" s="58" t="s">
        <v>220</v>
      </c>
      <c r="N441" s="58" t="s">
        <v>237</v>
      </c>
      <c r="O441" s="58" t="s">
        <v>316</v>
      </c>
      <c r="P441" s="3">
        <v>240</v>
      </c>
      <c r="Q441" s="126">
        <f>'приложение 5'!Q964</f>
        <v>3590</v>
      </c>
      <c r="R441" s="126">
        <f>'приложение 5'!R964</f>
        <v>0</v>
      </c>
      <c r="S441" s="126">
        <f>'приложение 5'!S964</f>
        <v>0</v>
      </c>
    </row>
    <row r="442" spans="8:19" ht="31.5">
      <c r="H442" s="2" t="s">
        <v>901</v>
      </c>
      <c r="I442" s="263"/>
      <c r="J442" s="11">
        <v>5</v>
      </c>
      <c r="K442" s="11">
        <v>3</v>
      </c>
      <c r="L442" s="57" t="s">
        <v>494</v>
      </c>
      <c r="M442" s="58" t="s">
        <v>220</v>
      </c>
      <c r="N442" s="58" t="s">
        <v>232</v>
      </c>
      <c r="O442" s="58" t="s">
        <v>261</v>
      </c>
      <c r="P442" s="93"/>
      <c r="Q442" s="126">
        <f>Q443+Q445</f>
        <v>12817.2</v>
      </c>
      <c r="R442" s="126">
        <f aca="true" t="shared" si="40" ref="Q442:S443">R443</f>
        <v>0</v>
      </c>
      <c r="S442" s="126">
        <f t="shared" si="40"/>
        <v>0</v>
      </c>
    </row>
    <row r="443" spans="8:19" ht="18.75" hidden="1">
      <c r="H443" s="26" t="s">
        <v>462</v>
      </c>
      <c r="I443" s="263"/>
      <c r="J443" s="11">
        <v>5</v>
      </c>
      <c r="K443" s="11">
        <v>3</v>
      </c>
      <c r="L443" s="57" t="s">
        <v>494</v>
      </c>
      <c r="M443" s="58" t="s">
        <v>220</v>
      </c>
      <c r="N443" s="58" t="s">
        <v>232</v>
      </c>
      <c r="O443" s="58" t="s">
        <v>926</v>
      </c>
      <c r="P443" s="3"/>
      <c r="Q443" s="126">
        <f t="shared" si="40"/>
        <v>0</v>
      </c>
      <c r="R443" s="126">
        <f t="shared" si="40"/>
        <v>0</v>
      </c>
      <c r="S443" s="126">
        <f t="shared" si="40"/>
        <v>0</v>
      </c>
    </row>
    <row r="444" spans="8:19" ht="18.75" hidden="1">
      <c r="H444" s="2" t="s">
        <v>299</v>
      </c>
      <c r="I444" s="263"/>
      <c r="J444" s="11">
        <v>5</v>
      </c>
      <c r="K444" s="11">
        <v>3</v>
      </c>
      <c r="L444" s="57" t="s">
        <v>494</v>
      </c>
      <c r="M444" s="58" t="s">
        <v>220</v>
      </c>
      <c r="N444" s="58" t="s">
        <v>232</v>
      </c>
      <c r="O444" s="58" t="s">
        <v>926</v>
      </c>
      <c r="P444" s="3">
        <v>240</v>
      </c>
      <c r="Q444" s="126">
        <f>'приложение 5'!Q1052</f>
        <v>0</v>
      </c>
      <c r="R444" s="126">
        <f>'приложение 5'!R1052</f>
        <v>0</v>
      </c>
      <c r="S444" s="126">
        <f>'приложение 5'!S1052</f>
        <v>0</v>
      </c>
    </row>
    <row r="445" spans="8:19" ht="18.75">
      <c r="H445" s="303" t="s">
        <v>462</v>
      </c>
      <c r="I445" s="263"/>
      <c r="J445" s="13">
        <v>5</v>
      </c>
      <c r="K445" s="11">
        <v>3</v>
      </c>
      <c r="L445" s="57" t="s">
        <v>494</v>
      </c>
      <c r="M445" s="58" t="s">
        <v>220</v>
      </c>
      <c r="N445" s="58" t="s">
        <v>232</v>
      </c>
      <c r="O445" s="58" t="s">
        <v>316</v>
      </c>
      <c r="P445" s="3"/>
      <c r="Q445" s="126">
        <f>Q446</f>
        <v>12817.2</v>
      </c>
      <c r="R445" s="126">
        <f>R446</f>
        <v>0</v>
      </c>
      <c r="S445" s="126">
        <f>S446</f>
        <v>0</v>
      </c>
    </row>
    <row r="446" spans="8:19" ht="18.75">
      <c r="H446" s="2" t="s">
        <v>299</v>
      </c>
      <c r="I446" s="263"/>
      <c r="J446" s="13">
        <v>5</v>
      </c>
      <c r="K446" s="11">
        <v>3</v>
      </c>
      <c r="L446" s="57" t="s">
        <v>494</v>
      </c>
      <c r="M446" s="58" t="s">
        <v>220</v>
      </c>
      <c r="N446" s="58" t="s">
        <v>232</v>
      </c>
      <c r="O446" s="58" t="s">
        <v>316</v>
      </c>
      <c r="P446" s="3">
        <v>240</v>
      </c>
      <c r="Q446" s="126">
        <f>'приложение 5'!Q1054</f>
        <v>12817.2</v>
      </c>
      <c r="R446" s="126">
        <f>'приложение 5'!R1054</f>
        <v>0</v>
      </c>
      <c r="S446" s="126">
        <f>'приложение 5'!S1054</f>
        <v>0</v>
      </c>
    </row>
    <row r="447" spans="8:19" ht="31.5">
      <c r="H447" s="2" t="s">
        <v>567</v>
      </c>
      <c r="I447" s="263"/>
      <c r="J447" s="11">
        <v>5</v>
      </c>
      <c r="K447" s="11">
        <v>3</v>
      </c>
      <c r="L447" s="57" t="s">
        <v>507</v>
      </c>
      <c r="M447" s="58" t="s">
        <v>220</v>
      </c>
      <c r="N447" s="58" t="s">
        <v>229</v>
      </c>
      <c r="O447" s="58" t="s">
        <v>261</v>
      </c>
      <c r="P447" s="3"/>
      <c r="Q447" s="126">
        <f>Q456+Q467+Q461+Q448+Q464+Q451</f>
        <v>32017.7</v>
      </c>
      <c r="R447" s="126">
        <f>R456+R467+R461+R448+R464+R451</f>
        <v>30487.899999999998</v>
      </c>
      <c r="S447" s="126">
        <f>S456+S467+S461+S448+S464+S451</f>
        <v>27119.199999999997</v>
      </c>
    </row>
    <row r="448" spans="8:19" ht="31.5">
      <c r="H448" s="2" t="s">
        <v>869</v>
      </c>
      <c r="I448" s="5">
        <v>673</v>
      </c>
      <c r="J448" s="4">
        <v>5</v>
      </c>
      <c r="K448" s="11">
        <v>3</v>
      </c>
      <c r="L448" s="57" t="s">
        <v>507</v>
      </c>
      <c r="M448" s="58" t="s">
        <v>220</v>
      </c>
      <c r="N448" s="58" t="s">
        <v>221</v>
      </c>
      <c r="O448" s="58" t="s">
        <v>261</v>
      </c>
      <c r="P448" s="3"/>
      <c r="Q448" s="126">
        <f aca="true" t="shared" si="41" ref="Q448:S449">Q449</f>
        <v>1231.5</v>
      </c>
      <c r="R448" s="126">
        <f t="shared" si="41"/>
        <v>1995</v>
      </c>
      <c r="S448" s="126">
        <f t="shared" si="41"/>
        <v>997.5</v>
      </c>
    </row>
    <row r="449" spans="8:19" ht="18.75">
      <c r="H449" s="2" t="s">
        <v>872</v>
      </c>
      <c r="I449" s="5">
        <v>673</v>
      </c>
      <c r="J449" s="4">
        <v>5</v>
      </c>
      <c r="K449" s="11">
        <v>3</v>
      </c>
      <c r="L449" s="57" t="s">
        <v>507</v>
      </c>
      <c r="M449" s="58" t="s">
        <v>220</v>
      </c>
      <c r="N449" s="58" t="s">
        <v>221</v>
      </c>
      <c r="O449" s="58" t="s">
        <v>873</v>
      </c>
      <c r="P449" s="3"/>
      <c r="Q449" s="126">
        <f t="shared" si="41"/>
        <v>1231.5</v>
      </c>
      <c r="R449" s="126">
        <f t="shared" si="41"/>
        <v>1995</v>
      </c>
      <c r="S449" s="126">
        <f t="shared" si="41"/>
        <v>997.5</v>
      </c>
    </row>
    <row r="450" spans="8:19" ht="18.75">
      <c r="H450" s="2" t="str">
        <f>H458</f>
        <v>Иные закупки товаров, работ и услуг для обеспечения государственных (муниципальных) нужд</v>
      </c>
      <c r="I450" s="5">
        <v>673</v>
      </c>
      <c r="J450" s="4">
        <v>5</v>
      </c>
      <c r="K450" s="11">
        <v>3</v>
      </c>
      <c r="L450" s="57" t="s">
        <v>507</v>
      </c>
      <c r="M450" s="58" t="s">
        <v>220</v>
      </c>
      <c r="N450" s="58" t="s">
        <v>221</v>
      </c>
      <c r="O450" s="58" t="s">
        <v>873</v>
      </c>
      <c r="P450" s="3">
        <v>240</v>
      </c>
      <c r="Q450" s="126">
        <f>'приложение 5'!Q617+'приложение 5'!Q968+'приложение 5'!Q1058</f>
        <v>1231.5</v>
      </c>
      <c r="R450" s="126">
        <f>'приложение 5'!R617+'приложение 5'!R968+'приложение 5'!R1058</f>
        <v>1995</v>
      </c>
      <c r="S450" s="126">
        <f>'приложение 5'!S617+'приложение 5'!S968+'приложение 5'!S1058</f>
        <v>997.5</v>
      </c>
    </row>
    <row r="451" spans="8:19" ht="18.75">
      <c r="H451" s="2" t="s">
        <v>961</v>
      </c>
      <c r="I451" s="9"/>
      <c r="J451" s="4">
        <v>5</v>
      </c>
      <c r="K451" s="11">
        <v>3</v>
      </c>
      <c r="L451" s="57" t="s">
        <v>507</v>
      </c>
      <c r="M451" s="58" t="s">
        <v>220</v>
      </c>
      <c r="N451" s="58" t="s">
        <v>236</v>
      </c>
      <c r="O451" s="58" t="s">
        <v>261</v>
      </c>
      <c r="P451" s="3"/>
      <c r="Q451" s="126">
        <f>Q452+Q454</f>
        <v>7622.7</v>
      </c>
      <c r="R451" s="126">
        <f>R452+R454</f>
        <v>12001.8</v>
      </c>
      <c r="S451" s="126">
        <f>S452+S454</f>
        <v>9630.6</v>
      </c>
    </row>
    <row r="452" spans="8:19" ht="18.75">
      <c r="H452" s="2" t="s">
        <v>877</v>
      </c>
      <c r="I452" s="9"/>
      <c r="J452" s="4">
        <v>5</v>
      </c>
      <c r="K452" s="11">
        <v>3</v>
      </c>
      <c r="L452" s="57" t="s">
        <v>507</v>
      </c>
      <c r="M452" s="58" t="s">
        <v>220</v>
      </c>
      <c r="N452" s="58" t="s">
        <v>236</v>
      </c>
      <c r="O452" s="58" t="s">
        <v>873</v>
      </c>
      <c r="P452" s="3"/>
      <c r="Q452" s="126">
        <f>Q453</f>
        <v>0</v>
      </c>
      <c r="R452" s="126">
        <f>R453</f>
        <v>4476</v>
      </c>
      <c r="S452" s="126">
        <f>S453</f>
        <v>4476</v>
      </c>
    </row>
    <row r="453" spans="8:19" ht="18.75">
      <c r="H453" s="2" t="s">
        <v>299</v>
      </c>
      <c r="I453" s="9"/>
      <c r="J453" s="4">
        <v>5</v>
      </c>
      <c r="K453" s="11">
        <v>3</v>
      </c>
      <c r="L453" s="57" t="s">
        <v>507</v>
      </c>
      <c r="M453" s="58" t="s">
        <v>220</v>
      </c>
      <c r="N453" s="58" t="s">
        <v>236</v>
      </c>
      <c r="O453" s="58" t="s">
        <v>873</v>
      </c>
      <c r="P453" s="3">
        <v>240</v>
      </c>
      <c r="Q453" s="126">
        <f>'приложение 5'!Q620+'приложение 5'!Q971+'приложение 5'!Q1061+'приложение 5'!Q286</f>
        <v>0</v>
      </c>
      <c r="R453" s="126">
        <f>'приложение 5'!R620+'приложение 5'!R971+'приложение 5'!R1061+'приложение 5'!R286</f>
        <v>4476</v>
      </c>
      <c r="S453" s="126">
        <f>'приложение 5'!S620+'приложение 5'!S971+'приложение 5'!S1061+'приложение 5'!S286</f>
        <v>4476</v>
      </c>
    </row>
    <row r="454" spans="8:19" ht="18.75">
      <c r="H454" s="2" t="s">
        <v>1057</v>
      </c>
      <c r="I454" s="9"/>
      <c r="J454" s="4">
        <v>5</v>
      </c>
      <c r="K454" s="11">
        <v>3</v>
      </c>
      <c r="L454" s="57" t="s">
        <v>507</v>
      </c>
      <c r="M454" s="58" t="s">
        <v>220</v>
      </c>
      <c r="N454" s="58" t="s">
        <v>236</v>
      </c>
      <c r="O454" s="58" t="s">
        <v>1056</v>
      </c>
      <c r="P454" s="3"/>
      <c r="Q454" s="126">
        <f>Q455</f>
        <v>7622.7</v>
      </c>
      <c r="R454" s="126">
        <f>R455</f>
        <v>7525.8</v>
      </c>
      <c r="S454" s="126">
        <f>S455</f>
        <v>5154.6</v>
      </c>
    </row>
    <row r="455" spans="8:19" ht="18.75">
      <c r="H455" s="2" t="s">
        <v>299</v>
      </c>
      <c r="I455" s="9"/>
      <c r="J455" s="4">
        <v>5</v>
      </c>
      <c r="K455" s="11">
        <v>3</v>
      </c>
      <c r="L455" s="57" t="s">
        <v>507</v>
      </c>
      <c r="M455" s="58" t="s">
        <v>220</v>
      </c>
      <c r="N455" s="58" t="s">
        <v>236</v>
      </c>
      <c r="O455" s="58" t="s">
        <v>1056</v>
      </c>
      <c r="P455" s="3">
        <v>240</v>
      </c>
      <c r="Q455" s="126">
        <f>'приложение 5'!Q288+'приложение 5'!Q622</f>
        <v>7622.7</v>
      </c>
      <c r="R455" s="126">
        <f>'приложение 5'!R288+'приложение 5'!R622</f>
        <v>7525.8</v>
      </c>
      <c r="S455" s="126">
        <f>'приложение 5'!S288+'приложение 5'!S622</f>
        <v>5154.6</v>
      </c>
    </row>
    <row r="456" spans="8:19" ht="18.75">
      <c r="H456" s="2" t="s">
        <v>1092</v>
      </c>
      <c r="I456" s="263"/>
      <c r="J456" s="11">
        <v>5</v>
      </c>
      <c r="K456" s="11">
        <v>3</v>
      </c>
      <c r="L456" s="57" t="s">
        <v>507</v>
      </c>
      <c r="M456" s="58" t="s">
        <v>220</v>
      </c>
      <c r="N456" s="58" t="s">
        <v>237</v>
      </c>
      <c r="O456" s="58" t="s">
        <v>261</v>
      </c>
      <c r="P456" s="3"/>
      <c r="Q456" s="126">
        <f>Q457+Q459</f>
        <v>19268.3</v>
      </c>
      <c r="R456" s="126">
        <f>R457+R459</f>
        <v>16491.1</v>
      </c>
      <c r="S456" s="126">
        <f>S457+S459</f>
        <v>16491.1</v>
      </c>
    </row>
    <row r="457" spans="8:19" ht="18.75">
      <c r="H457" s="2" t="s">
        <v>568</v>
      </c>
      <c r="I457" s="263"/>
      <c r="J457" s="11">
        <v>5</v>
      </c>
      <c r="K457" s="11">
        <v>3</v>
      </c>
      <c r="L457" s="57" t="s">
        <v>507</v>
      </c>
      <c r="M457" s="58" t="s">
        <v>220</v>
      </c>
      <c r="N457" s="58" t="s">
        <v>237</v>
      </c>
      <c r="O457" s="58" t="s">
        <v>508</v>
      </c>
      <c r="P457" s="3"/>
      <c r="Q457" s="126">
        <f>Q458</f>
        <v>13761.8</v>
      </c>
      <c r="R457" s="126">
        <f>R458</f>
        <v>13761.8</v>
      </c>
      <c r="S457" s="126">
        <f>S458</f>
        <v>13761.8</v>
      </c>
    </row>
    <row r="458" spans="8:19" ht="18.75">
      <c r="H458" s="2" t="s">
        <v>299</v>
      </c>
      <c r="I458" s="263"/>
      <c r="J458" s="11">
        <v>5</v>
      </c>
      <c r="K458" s="11">
        <v>3</v>
      </c>
      <c r="L458" s="57" t="s">
        <v>507</v>
      </c>
      <c r="M458" s="58" t="s">
        <v>220</v>
      </c>
      <c r="N458" s="58" t="s">
        <v>237</v>
      </c>
      <c r="O458" s="58" t="s">
        <v>508</v>
      </c>
      <c r="P458" s="3">
        <v>240</v>
      </c>
      <c r="Q458" s="126">
        <f>'приложение 5'!Q625+'приложение 5'!Q974+'приложение 5'!Q291+'приложение 5'!Q1064</f>
        <v>13761.8</v>
      </c>
      <c r="R458" s="126">
        <f>'приложение 5'!R625+'приложение 5'!R974+'приложение 5'!R291+'приложение 5'!R1064</f>
        <v>13761.8</v>
      </c>
      <c r="S458" s="126">
        <f>'приложение 5'!S625+'приложение 5'!S974+'приложение 5'!S291+'приложение 5'!S1064</f>
        <v>13761.8</v>
      </c>
    </row>
    <row r="459" spans="8:19" ht="18.75">
      <c r="H459" s="2" t="s">
        <v>1062</v>
      </c>
      <c r="I459" s="263"/>
      <c r="J459" s="11">
        <v>5</v>
      </c>
      <c r="K459" s="11">
        <v>3</v>
      </c>
      <c r="L459" s="57" t="s">
        <v>507</v>
      </c>
      <c r="M459" s="58" t="s">
        <v>220</v>
      </c>
      <c r="N459" s="58" t="s">
        <v>237</v>
      </c>
      <c r="O459" s="58" t="s">
        <v>1061</v>
      </c>
      <c r="P459" s="3"/>
      <c r="Q459" s="126">
        <f>Q460</f>
        <v>5506.499999999999</v>
      </c>
      <c r="R459" s="126">
        <f>R460</f>
        <v>2729.3</v>
      </c>
      <c r="S459" s="126">
        <f>S460</f>
        <v>2729.3</v>
      </c>
    </row>
    <row r="460" spans="8:19" ht="18.75">
      <c r="H460" s="2" t="s">
        <v>299</v>
      </c>
      <c r="I460" s="263"/>
      <c r="J460" s="11">
        <v>5</v>
      </c>
      <c r="K460" s="11">
        <v>3</v>
      </c>
      <c r="L460" s="57" t="s">
        <v>507</v>
      </c>
      <c r="M460" s="58" t="s">
        <v>220</v>
      </c>
      <c r="N460" s="58" t="s">
        <v>237</v>
      </c>
      <c r="O460" s="58" t="s">
        <v>1061</v>
      </c>
      <c r="P460" s="3">
        <v>240</v>
      </c>
      <c r="Q460" s="126">
        <f>'приложение 5'!Q627+'приложение 5'!Q293+'приложение 5'!Q976+'приложение 5'!Q1066</f>
        <v>5506.499999999999</v>
      </c>
      <c r="R460" s="126">
        <f>'приложение 5'!R627+'приложение 5'!R293+'приложение 5'!R976+'приложение 5'!R1066</f>
        <v>2729.3</v>
      </c>
      <c r="S460" s="126">
        <f>'приложение 5'!S627+'приложение 5'!S293+'приложение 5'!S976+'приложение 5'!S1066</f>
        <v>2729.3</v>
      </c>
    </row>
    <row r="461" spans="8:19" ht="31.5">
      <c r="H461" s="70" t="s">
        <v>588</v>
      </c>
      <c r="I461" s="344"/>
      <c r="J461" s="4">
        <v>5</v>
      </c>
      <c r="K461" s="11">
        <v>3</v>
      </c>
      <c r="L461" s="57" t="s">
        <v>507</v>
      </c>
      <c r="M461" s="58" t="s">
        <v>220</v>
      </c>
      <c r="N461" s="58" t="s">
        <v>232</v>
      </c>
      <c r="O461" s="58" t="s">
        <v>261</v>
      </c>
      <c r="P461" s="3"/>
      <c r="Q461" s="126">
        <f aca="true" t="shared" si="42" ref="Q461:S462">Q462</f>
        <v>473.2</v>
      </c>
      <c r="R461" s="126">
        <f t="shared" si="42"/>
        <v>0</v>
      </c>
      <c r="S461" s="126">
        <f t="shared" si="42"/>
        <v>0</v>
      </c>
    </row>
    <row r="462" spans="8:19" ht="31.5">
      <c r="H462" s="70" t="s">
        <v>589</v>
      </c>
      <c r="I462" s="344"/>
      <c r="J462" s="4">
        <v>5</v>
      </c>
      <c r="K462" s="11">
        <v>3</v>
      </c>
      <c r="L462" s="57" t="s">
        <v>507</v>
      </c>
      <c r="M462" s="58" t="s">
        <v>220</v>
      </c>
      <c r="N462" s="58" t="s">
        <v>232</v>
      </c>
      <c r="O462" s="58" t="s">
        <v>514</v>
      </c>
      <c r="P462" s="3"/>
      <c r="Q462" s="126">
        <f t="shared" si="42"/>
        <v>473.2</v>
      </c>
      <c r="R462" s="126">
        <f t="shared" si="42"/>
        <v>0</v>
      </c>
      <c r="S462" s="126">
        <f t="shared" si="42"/>
        <v>0</v>
      </c>
    </row>
    <row r="463" spans="8:19" ht="18.75">
      <c r="H463" s="2" t="s">
        <v>299</v>
      </c>
      <c r="I463" s="265"/>
      <c r="J463" s="4">
        <v>5</v>
      </c>
      <c r="K463" s="11">
        <v>3</v>
      </c>
      <c r="L463" s="57" t="s">
        <v>507</v>
      </c>
      <c r="M463" s="58" t="s">
        <v>220</v>
      </c>
      <c r="N463" s="58" t="s">
        <v>232</v>
      </c>
      <c r="O463" s="58" t="s">
        <v>514</v>
      </c>
      <c r="P463" s="3">
        <v>240</v>
      </c>
      <c r="Q463" s="126">
        <f>'приложение 5'!Q979+'приложение 5'!Q1069</f>
        <v>473.2</v>
      </c>
      <c r="R463" s="126">
        <v>0</v>
      </c>
      <c r="S463" s="126">
        <v>0</v>
      </c>
    </row>
    <row r="464" spans="8:19" ht="18.75">
      <c r="H464" s="2" t="s">
        <v>876</v>
      </c>
      <c r="I464" s="9">
        <v>669</v>
      </c>
      <c r="J464" s="11">
        <v>5</v>
      </c>
      <c r="K464" s="11">
        <v>3</v>
      </c>
      <c r="L464" s="57" t="s">
        <v>507</v>
      </c>
      <c r="M464" s="58" t="s">
        <v>220</v>
      </c>
      <c r="N464" s="58" t="s">
        <v>223</v>
      </c>
      <c r="O464" s="58" t="s">
        <v>261</v>
      </c>
      <c r="P464" s="3"/>
      <c r="Q464" s="126">
        <f>Q466</f>
        <v>3422</v>
      </c>
      <c r="R464" s="126">
        <f>R466</f>
        <v>0</v>
      </c>
      <c r="S464" s="126">
        <f>S466</f>
        <v>0</v>
      </c>
    </row>
    <row r="465" spans="8:19" ht="18.75">
      <c r="H465" s="2" t="s">
        <v>877</v>
      </c>
      <c r="I465" s="9">
        <v>669</v>
      </c>
      <c r="J465" s="11">
        <v>5</v>
      </c>
      <c r="K465" s="11">
        <v>3</v>
      </c>
      <c r="L465" s="57" t="s">
        <v>507</v>
      </c>
      <c r="M465" s="58" t="s">
        <v>220</v>
      </c>
      <c r="N465" s="58" t="s">
        <v>223</v>
      </c>
      <c r="O465" s="58" t="s">
        <v>873</v>
      </c>
      <c r="P465" s="3"/>
      <c r="Q465" s="126">
        <f>Q466</f>
        <v>3422</v>
      </c>
      <c r="R465" s="126">
        <v>0</v>
      </c>
      <c r="S465" s="126">
        <v>0</v>
      </c>
    </row>
    <row r="466" spans="8:19" ht="18.75">
      <c r="H466" s="2" t="str">
        <f>H468</f>
        <v>Иные закупки товаров, работ и услуг для обеспечения государственных (муниципальных) нужд</v>
      </c>
      <c r="I466" s="9">
        <v>669</v>
      </c>
      <c r="J466" s="11">
        <v>5</v>
      </c>
      <c r="K466" s="11">
        <v>3</v>
      </c>
      <c r="L466" s="57" t="s">
        <v>507</v>
      </c>
      <c r="M466" s="58" t="s">
        <v>220</v>
      </c>
      <c r="N466" s="58" t="s">
        <v>223</v>
      </c>
      <c r="O466" s="58" t="s">
        <v>873</v>
      </c>
      <c r="P466" s="3">
        <v>240</v>
      </c>
      <c r="Q466" s="126">
        <f>'приложение 5'!Q630</f>
        <v>3422</v>
      </c>
      <c r="R466" s="126">
        <f>'приложение 5'!R630</f>
        <v>0</v>
      </c>
      <c r="S466" s="126">
        <f>'приложение 5'!S630</f>
        <v>0</v>
      </c>
    </row>
    <row r="467" spans="8:19" ht="18.75" hidden="1">
      <c r="H467" s="2" t="s">
        <v>569</v>
      </c>
      <c r="I467" s="263"/>
      <c r="J467" s="11">
        <v>5</v>
      </c>
      <c r="K467" s="11">
        <v>3</v>
      </c>
      <c r="L467" s="57" t="s">
        <v>507</v>
      </c>
      <c r="M467" s="58" t="s">
        <v>220</v>
      </c>
      <c r="N467" s="58" t="s">
        <v>345</v>
      </c>
      <c r="O467" s="58" t="s">
        <v>509</v>
      </c>
      <c r="P467" s="3"/>
      <c r="Q467" s="126">
        <f>Q468</f>
        <v>0</v>
      </c>
      <c r="R467" s="126">
        <f>R468</f>
        <v>0</v>
      </c>
      <c r="S467" s="126">
        <f>S468</f>
        <v>0</v>
      </c>
    </row>
    <row r="468" spans="8:19" ht="18.75" hidden="1">
      <c r="H468" s="2" t="s">
        <v>299</v>
      </c>
      <c r="I468" s="263"/>
      <c r="J468" s="11">
        <v>5</v>
      </c>
      <c r="K468" s="11">
        <v>3</v>
      </c>
      <c r="L468" s="57" t="s">
        <v>507</v>
      </c>
      <c r="M468" s="58" t="s">
        <v>220</v>
      </c>
      <c r="N468" s="58" t="s">
        <v>345</v>
      </c>
      <c r="O468" s="58" t="s">
        <v>509</v>
      </c>
      <c r="P468" s="3">
        <v>240</v>
      </c>
      <c r="Q468" s="126">
        <f>'приложение 5'!Q632</f>
        <v>0</v>
      </c>
      <c r="R468" s="126">
        <f>'приложение 5'!R632</f>
        <v>0</v>
      </c>
      <c r="S468" s="126">
        <f>'приложение 5'!S632</f>
        <v>0</v>
      </c>
    </row>
    <row r="469" spans="8:19" ht="31.5" hidden="1">
      <c r="H469" s="2" t="s">
        <v>852</v>
      </c>
      <c r="I469" s="79"/>
      <c r="J469" s="11">
        <v>5</v>
      </c>
      <c r="K469" s="11">
        <v>3</v>
      </c>
      <c r="L469" s="57" t="s">
        <v>859</v>
      </c>
      <c r="M469" s="58" t="s">
        <v>220</v>
      </c>
      <c r="N469" s="58" t="s">
        <v>236</v>
      </c>
      <c r="O469" s="58" t="s">
        <v>261</v>
      </c>
      <c r="P469" s="3"/>
      <c r="Q469" s="126">
        <f>Q470</f>
        <v>0</v>
      </c>
      <c r="R469" s="126">
        <v>0</v>
      </c>
      <c r="S469" s="126">
        <v>0</v>
      </c>
    </row>
    <row r="470" spans="8:19" ht="18.75" hidden="1">
      <c r="H470" s="2" t="s">
        <v>854</v>
      </c>
      <c r="I470" s="79"/>
      <c r="J470" s="11">
        <v>5</v>
      </c>
      <c r="K470" s="11">
        <v>3</v>
      </c>
      <c r="L470" s="57" t="s">
        <v>859</v>
      </c>
      <c r="M470" s="58" t="s">
        <v>220</v>
      </c>
      <c r="N470" s="58" t="s">
        <v>236</v>
      </c>
      <c r="O470" s="58" t="s">
        <v>261</v>
      </c>
      <c r="P470" s="3"/>
      <c r="Q470" s="126">
        <f>Q471</f>
        <v>0</v>
      </c>
      <c r="R470" s="126">
        <v>0</v>
      </c>
      <c r="S470" s="126">
        <v>0</v>
      </c>
    </row>
    <row r="471" spans="8:19" ht="18.75" hidden="1">
      <c r="H471" s="2" t="s">
        <v>856</v>
      </c>
      <c r="I471" s="79"/>
      <c r="J471" s="11">
        <v>5</v>
      </c>
      <c r="K471" s="11">
        <v>3</v>
      </c>
      <c r="L471" s="57" t="s">
        <v>859</v>
      </c>
      <c r="M471" s="58" t="s">
        <v>220</v>
      </c>
      <c r="N471" s="58" t="s">
        <v>236</v>
      </c>
      <c r="O471" s="58" t="s">
        <v>860</v>
      </c>
      <c r="P471" s="3"/>
      <c r="Q471" s="126">
        <f>Q472</f>
        <v>0</v>
      </c>
      <c r="R471" s="126">
        <v>0</v>
      </c>
      <c r="S471" s="126">
        <v>0</v>
      </c>
    </row>
    <row r="472" spans="8:19" ht="18.75" hidden="1">
      <c r="H472" s="2" t="s">
        <v>299</v>
      </c>
      <c r="I472" s="79"/>
      <c r="J472" s="11">
        <v>5</v>
      </c>
      <c r="K472" s="11">
        <v>3</v>
      </c>
      <c r="L472" s="57" t="s">
        <v>859</v>
      </c>
      <c r="M472" s="58" t="s">
        <v>220</v>
      </c>
      <c r="N472" s="58" t="s">
        <v>236</v>
      </c>
      <c r="O472" s="58" t="s">
        <v>860</v>
      </c>
      <c r="P472" s="3">
        <v>240</v>
      </c>
      <c r="Q472" s="126">
        <f>'приложение 5'!Q297</f>
        <v>0</v>
      </c>
      <c r="R472" s="126">
        <f>'приложение 5'!R297</f>
        <v>0</v>
      </c>
      <c r="S472" s="126">
        <f>'приложение 5'!S297</f>
        <v>0</v>
      </c>
    </row>
    <row r="473" spans="8:19" ht="19.5">
      <c r="H473" s="354" t="s">
        <v>263</v>
      </c>
      <c r="I473" s="266"/>
      <c r="J473" s="86">
        <v>5</v>
      </c>
      <c r="K473" s="86">
        <v>5</v>
      </c>
      <c r="L473" s="87"/>
      <c r="M473" s="88"/>
      <c r="N473" s="88"/>
      <c r="O473" s="88"/>
      <c r="P473" s="85"/>
      <c r="Q473" s="123">
        <f>Q474+Q500+Q506</f>
        <v>17672.800000000003</v>
      </c>
      <c r="R473" s="123">
        <f>R474+R500+R506</f>
        <v>13942</v>
      </c>
      <c r="S473" s="123">
        <f>S474+S500+S506</f>
        <v>12542</v>
      </c>
    </row>
    <row r="474" spans="8:19" ht="31.5">
      <c r="H474" s="2" t="s">
        <v>522</v>
      </c>
      <c r="I474" s="263"/>
      <c r="J474" s="11">
        <v>5</v>
      </c>
      <c r="K474" s="11">
        <v>5</v>
      </c>
      <c r="L474" s="57" t="s">
        <v>494</v>
      </c>
      <c r="M474" s="58" t="s">
        <v>220</v>
      </c>
      <c r="N474" s="58" t="s">
        <v>229</v>
      </c>
      <c r="O474" s="58" t="s">
        <v>261</v>
      </c>
      <c r="P474" s="7"/>
      <c r="Q474" s="124">
        <f>Q475+Q478+Q487+Q493</f>
        <v>15044.400000000003</v>
      </c>
      <c r="R474" s="124">
        <f>R475+R478+R487+R493</f>
        <v>10842</v>
      </c>
      <c r="S474" s="124">
        <f>S475+S478+S487+S493</f>
        <v>10842</v>
      </c>
    </row>
    <row r="475" spans="8:19" ht="31.5">
      <c r="H475" s="2" t="s">
        <v>523</v>
      </c>
      <c r="I475" s="263"/>
      <c r="J475" s="11">
        <v>5</v>
      </c>
      <c r="K475" s="11">
        <v>5</v>
      </c>
      <c r="L475" s="57" t="s">
        <v>494</v>
      </c>
      <c r="M475" s="58" t="s">
        <v>220</v>
      </c>
      <c r="N475" s="58" t="s">
        <v>221</v>
      </c>
      <c r="O475" s="58" t="s">
        <v>261</v>
      </c>
      <c r="P475" s="7"/>
      <c r="Q475" s="124">
        <f aca="true" t="shared" si="43" ref="Q475:S476">Q476</f>
        <v>180</v>
      </c>
      <c r="R475" s="124">
        <f t="shared" si="43"/>
        <v>180</v>
      </c>
      <c r="S475" s="124">
        <f t="shared" si="43"/>
        <v>180</v>
      </c>
    </row>
    <row r="476" spans="8:19" ht="18.75">
      <c r="H476" s="2" t="s">
        <v>548</v>
      </c>
      <c r="I476" s="281"/>
      <c r="J476" s="11">
        <v>5</v>
      </c>
      <c r="K476" s="11">
        <v>5</v>
      </c>
      <c r="L476" s="57" t="s">
        <v>494</v>
      </c>
      <c r="M476" s="58" t="s">
        <v>220</v>
      </c>
      <c r="N476" s="58" t="s">
        <v>221</v>
      </c>
      <c r="O476" s="58" t="s">
        <v>70</v>
      </c>
      <c r="P476" s="7"/>
      <c r="Q476" s="124">
        <f t="shared" si="43"/>
        <v>180</v>
      </c>
      <c r="R476" s="124">
        <f t="shared" si="43"/>
        <v>180</v>
      </c>
      <c r="S476" s="124">
        <f t="shared" si="43"/>
        <v>180</v>
      </c>
    </row>
    <row r="477" spans="8:19" ht="18.75">
      <c r="H477" s="2" t="s">
        <v>299</v>
      </c>
      <c r="I477" s="263"/>
      <c r="J477" s="11">
        <v>5</v>
      </c>
      <c r="K477" s="11">
        <v>5</v>
      </c>
      <c r="L477" s="57" t="s">
        <v>494</v>
      </c>
      <c r="M477" s="58" t="s">
        <v>220</v>
      </c>
      <c r="N477" s="58" t="s">
        <v>221</v>
      </c>
      <c r="O477" s="58" t="s">
        <v>70</v>
      </c>
      <c r="P477" s="7">
        <v>240</v>
      </c>
      <c r="Q477" s="124">
        <f>'приложение 5'!Q302</f>
        <v>180</v>
      </c>
      <c r="R477" s="124">
        <f>'приложение 5'!R302</f>
        <v>180</v>
      </c>
      <c r="S477" s="124">
        <f>'приложение 5'!S302</f>
        <v>180</v>
      </c>
    </row>
    <row r="478" spans="8:19" ht="18.75">
      <c r="H478" s="2" t="s">
        <v>559</v>
      </c>
      <c r="I478" s="263"/>
      <c r="J478" s="11">
        <v>5</v>
      </c>
      <c r="K478" s="11">
        <v>5</v>
      </c>
      <c r="L478" s="57" t="s">
        <v>494</v>
      </c>
      <c r="M478" s="58" t="s">
        <v>220</v>
      </c>
      <c r="N478" s="58" t="s">
        <v>236</v>
      </c>
      <c r="O478" s="58" t="s">
        <v>261</v>
      </c>
      <c r="P478" s="3"/>
      <c r="Q478" s="126">
        <f>Q479+Q485+Q481+Q483</f>
        <v>13343.600000000002</v>
      </c>
      <c r="R478" s="126">
        <f>R479+R485+R481+R483</f>
        <v>10662</v>
      </c>
      <c r="S478" s="126">
        <f>S479+S485+S481+S483</f>
        <v>10662</v>
      </c>
    </row>
    <row r="479" spans="8:19" ht="18.75">
      <c r="H479" s="2" t="s">
        <v>62</v>
      </c>
      <c r="I479" s="263"/>
      <c r="J479" s="11">
        <v>5</v>
      </c>
      <c r="K479" s="11">
        <v>5</v>
      </c>
      <c r="L479" s="57" t="s">
        <v>494</v>
      </c>
      <c r="M479" s="58" t="s">
        <v>220</v>
      </c>
      <c r="N479" s="58" t="s">
        <v>236</v>
      </c>
      <c r="O479" s="58" t="s">
        <v>63</v>
      </c>
      <c r="P479" s="3"/>
      <c r="Q479" s="126">
        <f>Q480</f>
        <v>9975.900000000001</v>
      </c>
      <c r="R479" s="126">
        <f>R480</f>
        <v>8179.3</v>
      </c>
      <c r="S479" s="126">
        <f>S480</f>
        <v>8179.3</v>
      </c>
    </row>
    <row r="480" spans="8:19" ht="18.75">
      <c r="H480" s="2" t="s">
        <v>301</v>
      </c>
      <c r="I480" s="263"/>
      <c r="J480" s="11">
        <v>5</v>
      </c>
      <c r="K480" s="11">
        <v>5</v>
      </c>
      <c r="L480" s="57" t="s">
        <v>494</v>
      </c>
      <c r="M480" s="58" t="s">
        <v>220</v>
      </c>
      <c r="N480" s="58" t="s">
        <v>236</v>
      </c>
      <c r="O480" s="58" t="s">
        <v>63</v>
      </c>
      <c r="P480" s="3">
        <v>610</v>
      </c>
      <c r="Q480" s="126">
        <f>'приложение 5'!Q637</f>
        <v>9975.900000000001</v>
      </c>
      <c r="R480" s="126">
        <f>'приложение 5'!R637</f>
        <v>8179.3</v>
      </c>
      <c r="S480" s="126">
        <f>'приложение 5'!S637</f>
        <v>8179.3</v>
      </c>
    </row>
    <row r="481" spans="8:19" ht="18.75">
      <c r="H481" s="2" t="s">
        <v>11</v>
      </c>
      <c r="I481" s="9">
        <v>669</v>
      </c>
      <c r="J481" s="11">
        <v>5</v>
      </c>
      <c r="K481" s="11">
        <v>5</v>
      </c>
      <c r="L481" s="57" t="s">
        <v>494</v>
      </c>
      <c r="M481" s="58" t="s">
        <v>220</v>
      </c>
      <c r="N481" s="58" t="s">
        <v>236</v>
      </c>
      <c r="O481" s="58" t="s">
        <v>70</v>
      </c>
      <c r="P481" s="3"/>
      <c r="Q481" s="126">
        <f>Q482</f>
        <v>850</v>
      </c>
      <c r="R481" s="126">
        <f>R482</f>
        <v>450</v>
      </c>
      <c r="S481" s="126">
        <f>S482</f>
        <v>450</v>
      </c>
    </row>
    <row r="482" spans="8:19" ht="18.75">
      <c r="H482" s="2" t="str">
        <f>H486</f>
        <v>Иные закупки товаров, работ и услуг для обеспечения государственных (муниципальных) нужд</v>
      </c>
      <c r="I482" s="9">
        <v>669</v>
      </c>
      <c r="J482" s="11">
        <v>5</v>
      </c>
      <c r="K482" s="11">
        <v>5</v>
      </c>
      <c r="L482" s="57" t="s">
        <v>494</v>
      </c>
      <c r="M482" s="58" t="s">
        <v>220</v>
      </c>
      <c r="N482" s="58" t="s">
        <v>236</v>
      </c>
      <c r="O482" s="58" t="s">
        <v>70</v>
      </c>
      <c r="P482" s="3">
        <v>240</v>
      </c>
      <c r="Q482" s="126">
        <f>'приложение 5'!Q639</f>
        <v>850</v>
      </c>
      <c r="R482" s="126">
        <f>'приложение 5'!R639</f>
        <v>450</v>
      </c>
      <c r="S482" s="126">
        <f>'приложение 5'!S639</f>
        <v>450</v>
      </c>
    </row>
    <row r="483" spans="8:19" ht="31.5">
      <c r="H483" s="2" t="s">
        <v>374</v>
      </c>
      <c r="I483" s="9"/>
      <c r="J483" s="11">
        <v>5</v>
      </c>
      <c r="K483" s="11">
        <v>5</v>
      </c>
      <c r="L483" s="57" t="s">
        <v>494</v>
      </c>
      <c r="M483" s="58" t="s">
        <v>220</v>
      </c>
      <c r="N483" s="58" t="s">
        <v>236</v>
      </c>
      <c r="O483" s="58" t="s">
        <v>373</v>
      </c>
      <c r="P483" s="3"/>
      <c r="Q483" s="126">
        <f>Q484</f>
        <v>1967.7</v>
      </c>
      <c r="R483" s="126">
        <f>R484</f>
        <v>1967.7</v>
      </c>
      <c r="S483" s="126">
        <f>S484</f>
        <v>1967.7</v>
      </c>
    </row>
    <row r="484" spans="8:19" ht="18.75">
      <c r="H484" s="2" t="s">
        <v>301</v>
      </c>
      <c r="I484" s="9"/>
      <c r="J484" s="11">
        <v>5</v>
      </c>
      <c r="K484" s="11">
        <v>5</v>
      </c>
      <c r="L484" s="57" t="s">
        <v>494</v>
      </c>
      <c r="M484" s="58" t="s">
        <v>220</v>
      </c>
      <c r="N484" s="58" t="s">
        <v>236</v>
      </c>
      <c r="O484" s="58" t="s">
        <v>373</v>
      </c>
      <c r="P484" s="3">
        <v>610</v>
      </c>
      <c r="Q484" s="126">
        <f>'приложение 5'!Q641</f>
        <v>1967.7</v>
      </c>
      <c r="R484" s="126">
        <f>'приложение 5'!R641</f>
        <v>1967.7</v>
      </c>
      <c r="S484" s="126">
        <f>'приложение 5'!S641</f>
        <v>1967.7</v>
      </c>
    </row>
    <row r="485" spans="8:19" ht="47.25">
      <c r="H485" s="2" t="s">
        <v>570</v>
      </c>
      <c r="I485" s="263"/>
      <c r="J485" s="11">
        <v>5</v>
      </c>
      <c r="K485" s="11">
        <v>5</v>
      </c>
      <c r="L485" s="57" t="s">
        <v>494</v>
      </c>
      <c r="M485" s="58" t="s">
        <v>220</v>
      </c>
      <c r="N485" s="58" t="s">
        <v>236</v>
      </c>
      <c r="O485" s="58" t="s">
        <v>267</v>
      </c>
      <c r="P485" s="7"/>
      <c r="Q485" s="124">
        <f>Q486</f>
        <v>550</v>
      </c>
      <c r="R485" s="124">
        <f>R486</f>
        <v>65</v>
      </c>
      <c r="S485" s="124">
        <f>S486</f>
        <v>65</v>
      </c>
    </row>
    <row r="486" spans="8:19" ht="18.75">
      <c r="H486" s="2" t="s">
        <v>299</v>
      </c>
      <c r="I486" s="263"/>
      <c r="J486" s="11">
        <v>5</v>
      </c>
      <c r="K486" s="11">
        <v>5</v>
      </c>
      <c r="L486" s="57" t="s">
        <v>494</v>
      </c>
      <c r="M486" s="58" t="s">
        <v>220</v>
      </c>
      <c r="N486" s="58" t="s">
        <v>236</v>
      </c>
      <c r="O486" s="58" t="s">
        <v>267</v>
      </c>
      <c r="P486" s="7">
        <v>240</v>
      </c>
      <c r="Q486" s="124">
        <f>'приложение 5'!Q643</f>
        <v>550</v>
      </c>
      <c r="R486" s="124">
        <f>'приложение 5'!R643</f>
        <v>65</v>
      </c>
      <c r="S486" s="124">
        <f>'приложение 5'!S643</f>
        <v>65</v>
      </c>
    </row>
    <row r="487" spans="8:19" ht="18.75">
      <c r="H487" s="2" t="s">
        <v>587</v>
      </c>
      <c r="I487" s="263"/>
      <c r="J487" s="11">
        <v>5</v>
      </c>
      <c r="K487" s="11">
        <v>5</v>
      </c>
      <c r="L487" s="57" t="s">
        <v>494</v>
      </c>
      <c r="M487" s="58" t="s">
        <v>220</v>
      </c>
      <c r="N487" s="58" t="s">
        <v>237</v>
      </c>
      <c r="O487" s="58" t="s">
        <v>261</v>
      </c>
      <c r="P487" s="7"/>
      <c r="Q487" s="124">
        <f>Q488+Q491</f>
        <v>154.2</v>
      </c>
      <c r="R487" s="124">
        <f>R488+R491</f>
        <v>0</v>
      </c>
      <c r="S487" s="124">
        <f>S488+S491</f>
        <v>0</v>
      </c>
    </row>
    <row r="488" spans="8:19" ht="47.25">
      <c r="H488" s="2" t="s">
        <v>570</v>
      </c>
      <c r="I488" s="263"/>
      <c r="J488" s="11">
        <v>5</v>
      </c>
      <c r="K488" s="11">
        <v>5</v>
      </c>
      <c r="L488" s="57" t="s">
        <v>494</v>
      </c>
      <c r="M488" s="58" t="s">
        <v>220</v>
      </c>
      <c r="N488" s="58" t="s">
        <v>237</v>
      </c>
      <c r="O488" s="58" t="s">
        <v>267</v>
      </c>
      <c r="P488" s="7"/>
      <c r="Q488" s="124">
        <f>Q489+Q490</f>
        <v>28.400000000000002</v>
      </c>
      <c r="R488" s="124">
        <f>R489+R490</f>
        <v>0</v>
      </c>
      <c r="S488" s="124">
        <f>S489+S490</f>
        <v>0</v>
      </c>
    </row>
    <row r="489" spans="8:19" ht="18.75">
      <c r="H489" s="2" t="s">
        <v>299</v>
      </c>
      <c r="I489" s="263"/>
      <c r="J489" s="11">
        <v>5</v>
      </c>
      <c r="K489" s="11">
        <v>5</v>
      </c>
      <c r="L489" s="57" t="s">
        <v>494</v>
      </c>
      <c r="M489" s="58" t="s">
        <v>220</v>
      </c>
      <c r="N489" s="58" t="s">
        <v>237</v>
      </c>
      <c r="O489" s="58" t="s">
        <v>267</v>
      </c>
      <c r="P489" s="7">
        <v>240</v>
      </c>
      <c r="Q489" s="124">
        <f>'приложение 5'!Q984</f>
        <v>28.1</v>
      </c>
      <c r="R489" s="124">
        <f>'приложение 5'!R984</f>
        <v>0</v>
      </c>
      <c r="S489" s="124">
        <f>'приложение 5'!S984</f>
        <v>0</v>
      </c>
    </row>
    <row r="490" spans="8:19" ht="18.75">
      <c r="H490" s="2" t="s">
        <v>300</v>
      </c>
      <c r="I490" s="263"/>
      <c r="J490" s="11">
        <v>5</v>
      </c>
      <c r="K490" s="11">
        <v>5</v>
      </c>
      <c r="L490" s="57" t="s">
        <v>494</v>
      </c>
      <c r="M490" s="58" t="s">
        <v>220</v>
      </c>
      <c r="N490" s="58" t="s">
        <v>237</v>
      </c>
      <c r="O490" s="58" t="s">
        <v>267</v>
      </c>
      <c r="P490" s="7">
        <v>850</v>
      </c>
      <c r="Q490" s="124">
        <f>'приложение 5'!Q985</f>
        <v>0.3</v>
      </c>
      <c r="R490" s="124">
        <f>'приложение 5'!R985</f>
        <v>0</v>
      </c>
      <c r="S490" s="124">
        <f>'приложение 5'!S985</f>
        <v>0</v>
      </c>
    </row>
    <row r="491" spans="8:19" ht="18.75">
      <c r="H491" s="2" t="s">
        <v>548</v>
      </c>
      <c r="I491" s="263"/>
      <c r="J491" s="11">
        <v>5</v>
      </c>
      <c r="K491" s="11">
        <v>5</v>
      </c>
      <c r="L491" s="57" t="s">
        <v>494</v>
      </c>
      <c r="M491" s="58" t="s">
        <v>220</v>
      </c>
      <c r="N491" s="58" t="s">
        <v>237</v>
      </c>
      <c r="O491" s="58" t="s">
        <v>70</v>
      </c>
      <c r="P491" s="7"/>
      <c r="Q491" s="124">
        <f>Q492</f>
        <v>125.8</v>
      </c>
      <c r="R491" s="124">
        <f>R492</f>
        <v>0</v>
      </c>
      <c r="S491" s="124">
        <f>S492</f>
        <v>0</v>
      </c>
    </row>
    <row r="492" spans="8:19" ht="18.75">
      <c r="H492" s="2" t="s">
        <v>299</v>
      </c>
      <c r="I492" s="263"/>
      <c r="J492" s="11">
        <v>5</v>
      </c>
      <c r="K492" s="11">
        <v>5</v>
      </c>
      <c r="L492" s="57" t="s">
        <v>494</v>
      </c>
      <c r="M492" s="58" t="s">
        <v>220</v>
      </c>
      <c r="N492" s="58" t="s">
        <v>237</v>
      </c>
      <c r="O492" s="58" t="s">
        <v>70</v>
      </c>
      <c r="P492" s="7">
        <v>240</v>
      </c>
      <c r="Q492" s="124">
        <f>'приложение 5'!Q987</f>
        <v>125.8</v>
      </c>
      <c r="R492" s="124">
        <f>'приложение 5'!R987</f>
        <v>0</v>
      </c>
      <c r="S492" s="124">
        <f>'приложение 5'!S987</f>
        <v>0</v>
      </c>
    </row>
    <row r="493" spans="8:19" ht="18.75">
      <c r="H493" s="2" t="s">
        <v>590</v>
      </c>
      <c r="I493" s="263"/>
      <c r="J493" s="11">
        <v>5</v>
      </c>
      <c r="K493" s="11">
        <v>5</v>
      </c>
      <c r="L493" s="57" t="s">
        <v>494</v>
      </c>
      <c r="M493" s="58" t="s">
        <v>220</v>
      </c>
      <c r="N493" s="58" t="s">
        <v>232</v>
      </c>
      <c r="O493" s="58" t="s">
        <v>261</v>
      </c>
      <c r="P493" s="7"/>
      <c r="Q493" s="124">
        <f>Q494+Q498+Q496</f>
        <v>1366.6</v>
      </c>
      <c r="R493" s="124">
        <f>R494+R498+R496</f>
        <v>0</v>
      </c>
      <c r="S493" s="124">
        <f>S494+S498+S496</f>
        <v>0</v>
      </c>
    </row>
    <row r="494" spans="8:19" ht="47.25">
      <c r="H494" s="2" t="s">
        <v>570</v>
      </c>
      <c r="I494" s="263"/>
      <c r="J494" s="11">
        <v>5</v>
      </c>
      <c r="K494" s="11">
        <v>5</v>
      </c>
      <c r="L494" s="57" t="s">
        <v>494</v>
      </c>
      <c r="M494" s="58" t="s">
        <v>220</v>
      </c>
      <c r="N494" s="58" t="s">
        <v>232</v>
      </c>
      <c r="O494" s="58" t="s">
        <v>267</v>
      </c>
      <c r="P494" s="7"/>
      <c r="Q494" s="124">
        <f>Q495</f>
        <v>601.6</v>
      </c>
      <c r="R494" s="124">
        <f>R495</f>
        <v>0</v>
      </c>
      <c r="S494" s="124">
        <f>S495</f>
        <v>0</v>
      </c>
    </row>
    <row r="495" spans="8:19" ht="18.75">
      <c r="H495" s="2" t="s">
        <v>299</v>
      </c>
      <c r="I495" s="263"/>
      <c r="J495" s="11">
        <v>5</v>
      </c>
      <c r="K495" s="11">
        <v>5</v>
      </c>
      <c r="L495" s="57" t="s">
        <v>494</v>
      </c>
      <c r="M495" s="58" t="s">
        <v>220</v>
      </c>
      <c r="N495" s="58" t="s">
        <v>232</v>
      </c>
      <c r="O495" s="58" t="s">
        <v>267</v>
      </c>
      <c r="P495" s="7">
        <v>240</v>
      </c>
      <c r="Q495" s="124">
        <f>'приложение 5'!Q1074</f>
        <v>601.6</v>
      </c>
      <c r="R495" s="124">
        <f>'приложение 5'!R1074</f>
        <v>0</v>
      </c>
      <c r="S495" s="124">
        <f>'приложение 5'!S1074</f>
        <v>0</v>
      </c>
    </row>
    <row r="496" spans="8:19" ht="18.75">
      <c r="H496" s="2" t="s">
        <v>548</v>
      </c>
      <c r="I496" s="263"/>
      <c r="J496" s="11">
        <v>5</v>
      </c>
      <c r="K496" s="11">
        <v>5</v>
      </c>
      <c r="L496" s="57" t="s">
        <v>494</v>
      </c>
      <c r="M496" s="58" t="s">
        <v>220</v>
      </c>
      <c r="N496" s="58" t="s">
        <v>232</v>
      </c>
      <c r="O496" s="58" t="s">
        <v>70</v>
      </c>
      <c r="P496" s="3"/>
      <c r="Q496" s="124">
        <f>Q497</f>
        <v>280</v>
      </c>
      <c r="R496" s="124">
        <f>R497</f>
        <v>0</v>
      </c>
      <c r="S496" s="124">
        <f>S497</f>
        <v>0</v>
      </c>
    </row>
    <row r="497" spans="8:19" ht="18.75">
      <c r="H497" s="2" t="s">
        <v>299</v>
      </c>
      <c r="I497" s="263"/>
      <c r="J497" s="11">
        <v>5</v>
      </c>
      <c r="K497" s="11">
        <v>5</v>
      </c>
      <c r="L497" s="57" t="s">
        <v>494</v>
      </c>
      <c r="M497" s="58" t="s">
        <v>220</v>
      </c>
      <c r="N497" s="58" t="s">
        <v>232</v>
      </c>
      <c r="O497" s="58" t="s">
        <v>70</v>
      </c>
      <c r="P497" s="3">
        <v>240</v>
      </c>
      <c r="Q497" s="124">
        <f>'приложение 5'!Q1076</f>
        <v>280</v>
      </c>
      <c r="R497" s="124">
        <f>'приложение 5'!R1076</f>
        <v>0</v>
      </c>
      <c r="S497" s="124">
        <f>'приложение 5'!S1076</f>
        <v>0</v>
      </c>
    </row>
    <row r="498" spans="8:19" ht="18.75">
      <c r="H498" s="303" t="s">
        <v>462</v>
      </c>
      <c r="I498" s="263"/>
      <c r="J498" s="13">
        <v>5</v>
      </c>
      <c r="K498" s="11">
        <v>5</v>
      </c>
      <c r="L498" s="57" t="s">
        <v>494</v>
      </c>
      <c r="M498" s="58" t="s">
        <v>220</v>
      </c>
      <c r="N498" s="58" t="s">
        <v>232</v>
      </c>
      <c r="O498" s="58" t="s">
        <v>316</v>
      </c>
      <c r="P498" s="3"/>
      <c r="Q498" s="124">
        <f>Q499</f>
        <v>485</v>
      </c>
      <c r="R498" s="124">
        <f>R499</f>
        <v>0</v>
      </c>
      <c r="S498" s="124">
        <f>S499</f>
        <v>0</v>
      </c>
    </row>
    <row r="499" spans="8:19" ht="18.75">
      <c r="H499" s="2" t="s">
        <v>299</v>
      </c>
      <c r="I499" s="263"/>
      <c r="J499" s="13">
        <v>5</v>
      </c>
      <c r="K499" s="11">
        <v>5</v>
      </c>
      <c r="L499" s="57" t="s">
        <v>494</v>
      </c>
      <c r="M499" s="58" t="s">
        <v>220</v>
      </c>
      <c r="N499" s="58" t="s">
        <v>232</v>
      </c>
      <c r="O499" s="58" t="s">
        <v>316</v>
      </c>
      <c r="P499" s="3">
        <v>240</v>
      </c>
      <c r="Q499" s="124">
        <f>'приложение 5'!Q1078</f>
        <v>485</v>
      </c>
      <c r="R499" s="124">
        <f>'приложение 5'!R1078</f>
        <v>0</v>
      </c>
      <c r="S499" s="124">
        <f>'приложение 5'!S1078</f>
        <v>0</v>
      </c>
    </row>
    <row r="500" spans="8:19" ht="31.5">
      <c r="H500" s="2" t="s">
        <v>540</v>
      </c>
      <c r="I500" s="265"/>
      <c r="J500" s="4">
        <v>5</v>
      </c>
      <c r="K500" s="11">
        <v>5</v>
      </c>
      <c r="L500" s="57" t="s">
        <v>515</v>
      </c>
      <c r="M500" s="58" t="s">
        <v>220</v>
      </c>
      <c r="N500" s="58" t="s">
        <v>229</v>
      </c>
      <c r="O500" s="58" t="s">
        <v>261</v>
      </c>
      <c r="P500" s="7"/>
      <c r="Q500" s="124">
        <f aca="true" t="shared" si="44" ref="Q500:S501">Q501</f>
        <v>2028.4</v>
      </c>
      <c r="R500" s="124">
        <f t="shared" si="44"/>
        <v>1700</v>
      </c>
      <c r="S500" s="124">
        <f t="shared" si="44"/>
        <v>1700</v>
      </c>
    </row>
    <row r="501" spans="8:19" ht="47.25">
      <c r="H501" s="2" t="s">
        <v>849</v>
      </c>
      <c r="I501" s="265"/>
      <c r="J501" s="4">
        <v>5</v>
      </c>
      <c r="K501" s="11">
        <v>5</v>
      </c>
      <c r="L501" s="57" t="s">
        <v>515</v>
      </c>
      <c r="M501" s="58" t="s">
        <v>220</v>
      </c>
      <c r="N501" s="58" t="s">
        <v>221</v>
      </c>
      <c r="O501" s="58" t="s">
        <v>261</v>
      </c>
      <c r="P501" s="7"/>
      <c r="Q501" s="124">
        <f t="shared" si="44"/>
        <v>2028.4</v>
      </c>
      <c r="R501" s="124">
        <f t="shared" si="44"/>
        <v>1700</v>
      </c>
      <c r="S501" s="124">
        <f t="shared" si="44"/>
        <v>1700</v>
      </c>
    </row>
    <row r="502" spans="8:19" ht="31.5">
      <c r="H502" s="2" t="s">
        <v>572</v>
      </c>
      <c r="I502" s="265"/>
      <c r="J502" s="4">
        <v>5</v>
      </c>
      <c r="K502" s="11">
        <v>5</v>
      </c>
      <c r="L502" s="57" t="s">
        <v>515</v>
      </c>
      <c r="M502" s="58" t="s">
        <v>220</v>
      </c>
      <c r="N502" s="58" t="s">
        <v>221</v>
      </c>
      <c r="O502" s="58" t="s">
        <v>10</v>
      </c>
      <c r="P502" s="7"/>
      <c r="Q502" s="124">
        <f>Q503+Q505+Q504</f>
        <v>2028.4</v>
      </c>
      <c r="R502" s="124">
        <f>R503+R505+R504</f>
        <v>1700</v>
      </c>
      <c r="S502" s="124">
        <f>S503+S505+S504</f>
        <v>1700</v>
      </c>
    </row>
    <row r="503" spans="8:19" ht="18.75">
      <c r="H503" s="2" t="s">
        <v>299</v>
      </c>
      <c r="I503" s="265"/>
      <c r="J503" s="4">
        <v>5</v>
      </c>
      <c r="K503" s="11">
        <v>5</v>
      </c>
      <c r="L503" s="57" t="s">
        <v>515</v>
      </c>
      <c r="M503" s="58" t="s">
        <v>220</v>
      </c>
      <c r="N503" s="58" t="s">
        <v>221</v>
      </c>
      <c r="O503" s="58" t="s">
        <v>10</v>
      </c>
      <c r="P503" s="7">
        <v>240</v>
      </c>
      <c r="Q503" s="124">
        <f>'приложение 5'!Q647+'приложение 5'!Q991+'приложение 5'!Q1082+'приложение 5'!Q306</f>
        <v>155.9</v>
      </c>
      <c r="R503" s="124">
        <f>'приложение 5'!R647+'приложение 5'!R991+'приложение 5'!R1082+'приложение 5'!R306</f>
        <v>1700</v>
      </c>
      <c r="S503" s="124">
        <f>'приложение 5'!S647+'приложение 5'!S991+'приложение 5'!S1082+'приложение 5'!S306</f>
        <v>1700</v>
      </c>
    </row>
    <row r="504" spans="8:19" ht="18.75">
      <c r="H504" s="2" t="s">
        <v>301</v>
      </c>
      <c r="I504" s="263"/>
      <c r="J504" s="4">
        <v>5</v>
      </c>
      <c r="K504" s="11">
        <v>5</v>
      </c>
      <c r="L504" s="57" t="s">
        <v>515</v>
      </c>
      <c r="M504" s="58" t="s">
        <v>220</v>
      </c>
      <c r="N504" s="58" t="s">
        <v>221</v>
      </c>
      <c r="O504" s="58" t="s">
        <v>10</v>
      </c>
      <c r="P504" s="7">
        <v>610</v>
      </c>
      <c r="Q504" s="124">
        <f>'приложение 5'!Q648</f>
        <v>1870.5</v>
      </c>
      <c r="R504" s="124">
        <f>'приложение 5'!R648</f>
        <v>0</v>
      </c>
      <c r="S504" s="124">
        <f>'приложение 5'!S648</f>
        <v>0</v>
      </c>
    </row>
    <row r="505" spans="8:19" ht="18.75">
      <c r="H505" s="2" t="s">
        <v>300</v>
      </c>
      <c r="I505" s="263"/>
      <c r="J505" s="4">
        <v>5</v>
      </c>
      <c r="K505" s="11">
        <v>5</v>
      </c>
      <c r="L505" s="57" t="s">
        <v>515</v>
      </c>
      <c r="M505" s="58" t="s">
        <v>220</v>
      </c>
      <c r="N505" s="58" t="s">
        <v>221</v>
      </c>
      <c r="O505" s="58" t="s">
        <v>10</v>
      </c>
      <c r="P505" s="7">
        <v>850</v>
      </c>
      <c r="Q505" s="124">
        <f>'приложение 5'!Q992+'приложение 5'!Q1083+'приложение 5'!Q307</f>
        <v>2</v>
      </c>
      <c r="R505" s="124">
        <f>'приложение 5'!R992+'приложение 5'!R1083+'приложение 5'!R307</f>
        <v>0</v>
      </c>
      <c r="S505" s="124">
        <f>'приложение 5'!S992+'приложение 5'!S1083+'приложение 5'!S307</f>
        <v>0</v>
      </c>
    </row>
    <row r="506" spans="8:19" ht="31.5">
      <c r="H506" s="2" t="s">
        <v>1099</v>
      </c>
      <c r="I506" s="263"/>
      <c r="J506" s="11">
        <v>5</v>
      </c>
      <c r="K506" s="11">
        <v>5</v>
      </c>
      <c r="L506" s="57" t="s">
        <v>507</v>
      </c>
      <c r="M506" s="58" t="s">
        <v>220</v>
      </c>
      <c r="N506" s="58" t="s">
        <v>229</v>
      </c>
      <c r="O506" s="58" t="s">
        <v>261</v>
      </c>
      <c r="P506" s="7"/>
      <c r="Q506" s="124">
        <f aca="true" t="shared" si="45" ref="Q506:S508">Q507</f>
        <v>600</v>
      </c>
      <c r="R506" s="124">
        <f t="shared" si="45"/>
        <v>1400</v>
      </c>
      <c r="S506" s="124">
        <f t="shared" si="45"/>
        <v>0</v>
      </c>
    </row>
    <row r="507" spans="8:19" ht="18.75">
      <c r="H507" s="2" t="s">
        <v>1098</v>
      </c>
      <c r="I507" s="263"/>
      <c r="J507" s="11">
        <v>5</v>
      </c>
      <c r="K507" s="11">
        <v>5</v>
      </c>
      <c r="L507" s="57" t="s">
        <v>507</v>
      </c>
      <c r="M507" s="58" t="s">
        <v>220</v>
      </c>
      <c r="N507" s="58" t="s">
        <v>239</v>
      </c>
      <c r="O507" s="58" t="s">
        <v>261</v>
      </c>
      <c r="P507" s="7"/>
      <c r="Q507" s="124">
        <f t="shared" si="45"/>
        <v>600</v>
      </c>
      <c r="R507" s="124">
        <f t="shared" si="45"/>
        <v>1400</v>
      </c>
      <c r="S507" s="124">
        <f t="shared" si="45"/>
        <v>0</v>
      </c>
    </row>
    <row r="508" spans="8:19" ht="18.75">
      <c r="H508" s="2" t="s">
        <v>1097</v>
      </c>
      <c r="I508" s="263"/>
      <c r="J508" s="11">
        <v>5</v>
      </c>
      <c r="K508" s="11">
        <v>5</v>
      </c>
      <c r="L508" s="57" t="s">
        <v>507</v>
      </c>
      <c r="M508" s="58" t="s">
        <v>220</v>
      </c>
      <c r="N508" s="58" t="s">
        <v>239</v>
      </c>
      <c r="O508" s="58" t="s">
        <v>1096</v>
      </c>
      <c r="P508" s="7"/>
      <c r="Q508" s="124">
        <f t="shared" si="45"/>
        <v>600</v>
      </c>
      <c r="R508" s="124">
        <f t="shared" si="45"/>
        <v>1400</v>
      </c>
      <c r="S508" s="124">
        <f t="shared" si="45"/>
        <v>0</v>
      </c>
    </row>
    <row r="509" spans="8:19" ht="18.75">
      <c r="H509" s="2" t="s">
        <v>299</v>
      </c>
      <c r="I509" s="263"/>
      <c r="J509" s="11">
        <v>5</v>
      </c>
      <c r="K509" s="11">
        <v>5</v>
      </c>
      <c r="L509" s="57" t="s">
        <v>507</v>
      </c>
      <c r="M509" s="58" t="s">
        <v>220</v>
      </c>
      <c r="N509" s="58" t="s">
        <v>239</v>
      </c>
      <c r="O509" s="58" t="s">
        <v>1096</v>
      </c>
      <c r="P509" s="7">
        <v>240</v>
      </c>
      <c r="Q509" s="124">
        <f>'приложение 5'!Q311</f>
        <v>600</v>
      </c>
      <c r="R509" s="124">
        <f>'приложение 5'!R311</f>
        <v>1400</v>
      </c>
      <c r="S509" s="124">
        <f>'приложение 5'!S311</f>
        <v>0</v>
      </c>
    </row>
    <row r="510" spans="8:19" ht="19.5">
      <c r="H510" s="227" t="s">
        <v>245</v>
      </c>
      <c r="I510" s="297"/>
      <c r="J510" s="86">
        <v>6</v>
      </c>
      <c r="K510" s="86" t="s">
        <v>262</v>
      </c>
      <c r="L510" s="87"/>
      <c r="M510" s="88"/>
      <c r="N510" s="88"/>
      <c r="O510" s="88"/>
      <c r="P510" s="85"/>
      <c r="Q510" s="123">
        <f>Q511+Q518+Q523</f>
        <v>149106.29999999996</v>
      </c>
      <c r="R510" s="123">
        <f>R511+R518+R523</f>
        <v>428.7</v>
      </c>
      <c r="S510" s="123">
        <f>S511+S518+S523</f>
        <v>428.29999999999995</v>
      </c>
    </row>
    <row r="511" spans="8:19" ht="19.5">
      <c r="H511" s="227" t="s">
        <v>867</v>
      </c>
      <c r="I511" s="297"/>
      <c r="J511" s="86">
        <v>6</v>
      </c>
      <c r="K511" s="86">
        <v>2</v>
      </c>
      <c r="L511" s="87"/>
      <c r="M511" s="88"/>
      <c r="N511" s="88"/>
      <c r="O511" s="88"/>
      <c r="P511" s="85"/>
      <c r="Q511" s="123">
        <f aca="true" t="shared" si="46" ref="Q511:S512">Q512</f>
        <v>148677.59999999998</v>
      </c>
      <c r="R511" s="123">
        <f t="shared" si="46"/>
        <v>0</v>
      </c>
      <c r="S511" s="123">
        <f t="shared" si="46"/>
        <v>0</v>
      </c>
    </row>
    <row r="512" spans="8:19" ht="31.5">
      <c r="H512" s="25" t="s">
        <v>544</v>
      </c>
      <c r="I512" s="297"/>
      <c r="J512" s="11">
        <v>6</v>
      </c>
      <c r="K512" s="11">
        <v>2</v>
      </c>
      <c r="L512" s="57" t="s">
        <v>239</v>
      </c>
      <c r="M512" s="58" t="s">
        <v>220</v>
      </c>
      <c r="N512" s="58" t="s">
        <v>229</v>
      </c>
      <c r="O512" s="58" t="s">
        <v>261</v>
      </c>
      <c r="P512" s="7"/>
      <c r="Q512" s="124">
        <f t="shared" si="46"/>
        <v>148677.59999999998</v>
      </c>
      <c r="R512" s="124">
        <f t="shared" si="46"/>
        <v>0</v>
      </c>
      <c r="S512" s="124">
        <f t="shared" si="46"/>
        <v>0</v>
      </c>
    </row>
    <row r="513" spans="8:19" ht="31.5">
      <c r="H513" s="25" t="s">
        <v>41</v>
      </c>
      <c r="I513" s="297"/>
      <c r="J513" s="11">
        <v>6</v>
      </c>
      <c r="K513" s="11">
        <v>2</v>
      </c>
      <c r="L513" s="57" t="s">
        <v>239</v>
      </c>
      <c r="M513" s="58" t="s">
        <v>220</v>
      </c>
      <c r="N513" s="58" t="s">
        <v>236</v>
      </c>
      <c r="O513" s="58" t="s">
        <v>511</v>
      </c>
      <c r="P513" s="7"/>
      <c r="Q513" s="124">
        <f>Q515+Q517</f>
        <v>148677.59999999998</v>
      </c>
      <c r="R513" s="124">
        <f>R515+R517</f>
        <v>0</v>
      </c>
      <c r="S513" s="124">
        <f>S515+S517</f>
        <v>0</v>
      </c>
    </row>
    <row r="514" spans="8:19" ht="18.75">
      <c r="H514" s="25" t="s">
        <v>545</v>
      </c>
      <c r="I514" s="297"/>
      <c r="J514" s="11">
        <v>6</v>
      </c>
      <c r="K514" s="11">
        <v>2</v>
      </c>
      <c r="L514" s="57" t="s">
        <v>239</v>
      </c>
      <c r="M514" s="58" t="s">
        <v>220</v>
      </c>
      <c r="N514" s="58" t="s">
        <v>236</v>
      </c>
      <c r="O514" s="58" t="s">
        <v>510</v>
      </c>
      <c r="P514" s="7"/>
      <c r="Q514" s="124">
        <f>Q515</f>
        <v>141038.8</v>
      </c>
      <c r="R514" s="124">
        <f>R515</f>
        <v>0</v>
      </c>
      <c r="S514" s="124">
        <f>S515</f>
        <v>0</v>
      </c>
    </row>
    <row r="515" spans="8:19" ht="18.75">
      <c r="H515" s="25" t="s">
        <v>299</v>
      </c>
      <c r="I515" s="297"/>
      <c r="J515" s="11">
        <v>6</v>
      </c>
      <c r="K515" s="11">
        <v>2</v>
      </c>
      <c r="L515" s="57" t="s">
        <v>239</v>
      </c>
      <c r="M515" s="58" t="s">
        <v>220</v>
      </c>
      <c r="N515" s="58" t="s">
        <v>236</v>
      </c>
      <c r="O515" s="58" t="s">
        <v>510</v>
      </c>
      <c r="P515" s="7">
        <v>240</v>
      </c>
      <c r="Q515" s="124">
        <f>'приложение 5'!Q317</f>
        <v>141038.8</v>
      </c>
      <c r="R515" s="124">
        <f>'приложение 5'!R317</f>
        <v>0</v>
      </c>
      <c r="S515" s="124">
        <f>'приложение 5'!S317</f>
        <v>0</v>
      </c>
    </row>
    <row r="516" spans="8:19" ht="18.75">
      <c r="H516" s="2" t="s">
        <v>865</v>
      </c>
      <c r="I516" s="297"/>
      <c r="J516" s="11">
        <v>6</v>
      </c>
      <c r="K516" s="11">
        <v>2</v>
      </c>
      <c r="L516" s="57" t="s">
        <v>239</v>
      </c>
      <c r="M516" s="58" t="s">
        <v>220</v>
      </c>
      <c r="N516" s="58" t="s">
        <v>236</v>
      </c>
      <c r="O516" s="58" t="s">
        <v>866</v>
      </c>
      <c r="P516" s="7"/>
      <c r="Q516" s="124">
        <f>Q517</f>
        <v>7638.8</v>
      </c>
      <c r="R516" s="124">
        <f>R517</f>
        <v>0</v>
      </c>
      <c r="S516" s="124">
        <f>S517</f>
        <v>0</v>
      </c>
    </row>
    <row r="517" spans="8:19" ht="18.75">
      <c r="H517" s="2" t="s">
        <v>299</v>
      </c>
      <c r="I517" s="297"/>
      <c r="J517" s="11">
        <v>6</v>
      </c>
      <c r="K517" s="11">
        <v>2</v>
      </c>
      <c r="L517" s="57" t="s">
        <v>239</v>
      </c>
      <c r="M517" s="58" t="s">
        <v>220</v>
      </c>
      <c r="N517" s="58" t="s">
        <v>236</v>
      </c>
      <c r="O517" s="58" t="s">
        <v>866</v>
      </c>
      <c r="P517" s="7">
        <v>240</v>
      </c>
      <c r="Q517" s="124">
        <f>'приложение 5'!Q319</f>
        <v>7638.8</v>
      </c>
      <c r="R517" s="124">
        <f>'приложение 5'!R319</f>
        <v>0</v>
      </c>
      <c r="S517" s="124">
        <f>'приложение 5'!S319</f>
        <v>0</v>
      </c>
    </row>
    <row r="518" spans="8:19" ht="19.5">
      <c r="H518" s="244" t="s">
        <v>212</v>
      </c>
      <c r="I518" s="345"/>
      <c r="J518" s="86">
        <v>6</v>
      </c>
      <c r="K518" s="86">
        <v>3</v>
      </c>
      <c r="L518" s="87"/>
      <c r="M518" s="88"/>
      <c r="N518" s="88"/>
      <c r="O518" s="88"/>
      <c r="P518" s="85"/>
      <c r="Q518" s="123">
        <f>Q519</f>
        <v>14.4</v>
      </c>
      <c r="R518" s="123">
        <f>R519</f>
        <v>14.4</v>
      </c>
      <c r="S518" s="123">
        <f>S519</f>
        <v>14.4</v>
      </c>
    </row>
    <row r="519" spans="8:19" ht="31.5">
      <c r="H519" s="2" t="s">
        <v>522</v>
      </c>
      <c r="I519" s="263"/>
      <c r="J519" s="11">
        <v>6</v>
      </c>
      <c r="K519" s="11">
        <v>3</v>
      </c>
      <c r="L519" s="57" t="s">
        <v>494</v>
      </c>
      <c r="M519" s="58" t="s">
        <v>220</v>
      </c>
      <c r="N519" s="58" t="s">
        <v>229</v>
      </c>
      <c r="O519" s="58" t="s">
        <v>261</v>
      </c>
      <c r="P519" s="7"/>
      <c r="Q519" s="124">
        <f>Q520</f>
        <v>14.4</v>
      </c>
      <c r="R519" s="124">
        <f aca="true" t="shared" si="47" ref="R519:S521">R520</f>
        <v>14.4</v>
      </c>
      <c r="S519" s="124">
        <f t="shared" si="47"/>
        <v>14.4</v>
      </c>
    </row>
    <row r="520" spans="8:19" ht="31.5">
      <c r="H520" s="2" t="s">
        <v>524</v>
      </c>
      <c r="I520" s="281"/>
      <c r="J520" s="11">
        <v>6</v>
      </c>
      <c r="K520" s="11">
        <v>3</v>
      </c>
      <c r="L520" s="57" t="s">
        <v>494</v>
      </c>
      <c r="M520" s="58" t="s">
        <v>220</v>
      </c>
      <c r="N520" s="58" t="s">
        <v>223</v>
      </c>
      <c r="O520" s="58" t="s">
        <v>261</v>
      </c>
      <c r="P520" s="7"/>
      <c r="Q520" s="124">
        <f>Q521</f>
        <v>14.4</v>
      </c>
      <c r="R520" s="124">
        <f t="shared" si="47"/>
        <v>14.4</v>
      </c>
      <c r="S520" s="124">
        <f t="shared" si="47"/>
        <v>14.4</v>
      </c>
    </row>
    <row r="521" spans="8:19" ht="47.25">
      <c r="H521" s="2" t="s">
        <v>325</v>
      </c>
      <c r="I521" s="281"/>
      <c r="J521" s="11">
        <v>6</v>
      </c>
      <c r="K521" s="11">
        <v>3</v>
      </c>
      <c r="L521" s="57" t="s">
        <v>494</v>
      </c>
      <c r="M521" s="58" t="s">
        <v>220</v>
      </c>
      <c r="N521" s="58" t="s">
        <v>223</v>
      </c>
      <c r="O521" s="58" t="s">
        <v>324</v>
      </c>
      <c r="P521" s="3"/>
      <c r="Q521" s="126">
        <f>Q522</f>
        <v>14.4</v>
      </c>
      <c r="R521" s="126">
        <f t="shared" si="47"/>
        <v>14.4</v>
      </c>
      <c r="S521" s="126">
        <f t="shared" si="47"/>
        <v>14.4</v>
      </c>
    </row>
    <row r="522" spans="8:19" ht="18.75">
      <c r="H522" s="2" t="s">
        <v>299</v>
      </c>
      <c r="I522" s="263"/>
      <c r="J522" s="11">
        <v>6</v>
      </c>
      <c r="K522" s="11">
        <v>3</v>
      </c>
      <c r="L522" s="57" t="s">
        <v>494</v>
      </c>
      <c r="M522" s="58" t="s">
        <v>220</v>
      </c>
      <c r="N522" s="58" t="s">
        <v>223</v>
      </c>
      <c r="O522" s="58" t="s">
        <v>324</v>
      </c>
      <c r="P522" s="3">
        <v>240</v>
      </c>
      <c r="Q522" s="126">
        <f>'приложение 5'!Q324</f>
        <v>14.4</v>
      </c>
      <c r="R522" s="126">
        <f>'приложение 5'!R324</f>
        <v>14.4</v>
      </c>
      <c r="S522" s="126">
        <f>'приложение 5'!S324</f>
        <v>14.4</v>
      </c>
    </row>
    <row r="523" spans="8:19" ht="19.5">
      <c r="H523" s="225" t="s">
        <v>211</v>
      </c>
      <c r="I523" s="306"/>
      <c r="J523" s="86">
        <v>6</v>
      </c>
      <c r="K523" s="86">
        <v>5</v>
      </c>
      <c r="L523" s="87"/>
      <c r="M523" s="88"/>
      <c r="N523" s="88"/>
      <c r="O523" s="88"/>
      <c r="P523" s="85"/>
      <c r="Q523" s="123">
        <f>Q524+Q535+Q534</f>
        <v>414.3</v>
      </c>
      <c r="R523" s="123">
        <f>R524+R535+R534</f>
        <v>414.3</v>
      </c>
      <c r="S523" s="123">
        <f>S524+S535+S534</f>
        <v>413.9</v>
      </c>
    </row>
    <row r="524" spans="8:19" ht="31.5">
      <c r="H524" s="129" t="s">
        <v>544</v>
      </c>
      <c r="I524" s="346"/>
      <c r="J524" s="11">
        <v>6</v>
      </c>
      <c r="K524" s="11">
        <v>5</v>
      </c>
      <c r="L524" s="57" t="s">
        <v>239</v>
      </c>
      <c r="M524" s="58" t="s">
        <v>220</v>
      </c>
      <c r="N524" s="58" t="s">
        <v>229</v>
      </c>
      <c r="O524" s="58" t="s">
        <v>261</v>
      </c>
      <c r="P524" s="7"/>
      <c r="Q524" s="124">
        <f>Q528+Q525</f>
        <v>30</v>
      </c>
      <c r="R524" s="124">
        <f>R528+R525</f>
        <v>30</v>
      </c>
      <c r="S524" s="124">
        <f>S528+S525</f>
        <v>30</v>
      </c>
    </row>
    <row r="525" spans="8:19" ht="31.5">
      <c r="H525" s="422" t="s">
        <v>1105</v>
      </c>
      <c r="I525" s="346"/>
      <c r="J525" s="11">
        <v>6</v>
      </c>
      <c r="K525" s="11">
        <v>5</v>
      </c>
      <c r="L525" s="57" t="s">
        <v>239</v>
      </c>
      <c r="M525" s="58" t="s">
        <v>220</v>
      </c>
      <c r="N525" s="58" t="s">
        <v>221</v>
      </c>
      <c r="O525" s="58" t="s">
        <v>261</v>
      </c>
      <c r="P525" s="7"/>
      <c r="Q525" s="124">
        <f aca="true" t="shared" si="48" ref="Q525:S526">Q526</f>
        <v>30</v>
      </c>
      <c r="R525" s="124">
        <f t="shared" si="48"/>
        <v>30</v>
      </c>
      <c r="S525" s="124">
        <f t="shared" si="48"/>
        <v>30</v>
      </c>
    </row>
    <row r="526" spans="8:19" ht="18.75">
      <c r="H526" s="129" t="s">
        <v>1033</v>
      </c>
      <c r="I526" s="346"/>
      <c r="J526" s="11">
        <v>6</v>
      </c>
      <c r="K526" s="11">
        <v>5</v>
      </c>
      <c r="L526" s="57" t="s">
        <v>239</v>
      </c>
      <c r="M526" s="58" t="s">
        <v>220</v>
      </c>
      <c r="N526" s="58" t="s">
        <v>221</v>
      </c>
      <c r="O526" s="58" t="s">
        <v>1034</v>
      </c>
      <c r="P526" s="7"/>
      <c r="Q526" s="124">
        <f t="shared" si="48"/>
        <v>30</v>
      </c>
      <c r="R526" s="124">
        <f t="shared" si="48"/>
        <v>30</v>
      </c>
      <c r="S526" s="124">
        <f t="shared" si="48"/>
        <v>30</v>
      </c>
    </row>
    <row r="527" spans="8:19" ht="18.75">
      <c r="H527" s="129" t="s">
        <v>299</v>
      </c>
      <c r="I527" s="346"/>
      <c r="J527" s="11">
        <v>6</v>
      </c>
      <c r="K527" s="11">
        <v>5</v>
      </c>
      <c r="L527" s="57" t="s">
        <v>239</v>
      </c>
      <c r="M527" s="58" t="s">
        <v>220</v>
      </c>
      <c r="N527" s="58" t="s">
        <v>221</v>
      </c>
      <c r="O527" s="58" t="s">
        <v>1034</v>
      </c>
      <c r="P527" s="7">
        <v>240</v>
      </c>
      <c r="Q527" s="124">
        <f>'приложение 5'!Q329</f>
        <v>30</v>
      </c>
      <c r="R527" s="124">
        <f>'приложение 5'!R329</f>
        <v>30</v>
      </c>
      <c r="S527" s="124">
        <f>'приложение 5'!S329</f>
        <v>30</v>
      </c>
    </row>
    <row r="528" spans="8:19" ht="31.5" hidden="1">
      <c r="H528" s="26" t="s">
        <v>41</v>
      </c>
      <c r="I528" s="135"/>
      <c r="J528" s="11">
        <v>6</v>
      </c>
      <c r="K528" s="11">
        <v>5</v>
      </c>
      <c r="L528" s="57" t="s">
        <v>239</v>
      </c>
      <c r="M528" s="58" t="s">
        <v>220</v>
      </c>
      <c r="N528" s="58" t="s">
        <v>236</v>
      </c>
      <c r="O528" s="58" t="s">
        <v>261</v>
      </c>
      <c r="P528" s="7"/>
      <c r="Q528" s="124">
        <f aca="true" t="shared" si="49" ref="Q528:S529">Q529</f>
        <v>0</v>
      </c>
      <c r="R528" s="124">
        <f t="shared" si="49"/>
        <v>0</v>
      </c>
      <c r="S528" s="124">
        <f t="shared" si="49"/>
        <v>0</v>
      </c>
    </row>
    <row r="529" spans="8:19" ht="18.75" hidden="1">
      <c r="H529" s="26" t="s">
        <v>13</v>
      </c>
      <c r="I529" s="135"/>
      <c r="J529" s="11">
        <v>6</v>
      </c>
      <c r="K529" s="11">
        <v>5</v>
      </c>
      <c r="L529" s="57" t="s">
        <v>239</v>
      </c>
      <c r="M529" s="58" t="s">
        <v>220</v>
      </c>
      <c r="N529" s="58" t="s">
        <v>236</v>
      </c>
      <c r="O529" s="58" t="s">
        <v>12</v>
      </c>
      <c r="P529" s="7"/>
      <c r="Q529" s="124">
        <f t="shared" si="49"/>
        <v>0</v>
      </c>
      <c r="R529" s="124">
        <f t="shared" si="49"/>
        <v>0</v>
      </c>
      <c r="S529" s="124">
        <f t="shared" si="49"/>
        <v>0</v>
      </c>
    </row>
    <row r="530" spans="8:19" ht="18.75" hidden="1">
      <c r="H530" s="2" t="s">
        <v>299</v>
      </c>
      <c r="I530" s="263"/>
      <c r="J530" s="11">
        <v>6</v>
      </c>
      <c r="K530" s="11">
        <v>5</v>
      </c>
      <c r="L530" s="57" t="s">
        <v>239</v>
      </c>
      <c r="M530" s="58" t="s">
        <v>220</v>
      </c>
      <c r="N530" s="58" t="s">
        <v>236</v>
      </c>
      <c r="O530" s="58" t="s">
        <v>12</v>
      </c>
      <c r="P530" s="7">
        <v>240</v>
      </c>
      <c r="Q530" s="124">
        <v>0</v>
      </c>
      <c r="R530" s="124">
        <v>0</v>
      </c>
      <c r="S530" s="124">
        <v>0</v>
      </c>
    </row>
    <row r="531" spans="8:19" ht="31.5">
      <c r="H531" s="2" t="s">
        <v>544</v>
      </c>
      <c r="I531" s="9">
        <v>668</v>
      </c>
      <c r="J531" s="11">
        <v>6</v>
      </c>
      <c r="K531" s="11">
        <v>5</v>
      </c>
      <c r="L531" s="57" t="s">
        <v>239</v>
      </c>
      <c r="M531" s="58" t="s">
        <v>220</v>
      </c>
      <c r="N531" s="58" t="s">
        <v>229</v>
      </c>
      <c r="O531" s="58" t="s">
        <v>261</v>
      </c>
      <c r="P531" s="7"/>
      <c r="Q531" s="124">
        <f>Q532+Q536+Q539</f>
        <v>384.3</v>
      </c>
      <c r="R531" s="124">
        <f>R532+R536+R539</f>
        <v>384.3</v>
      </c>
      <c r="S531" s="124">
        <f>S532+S536+S539</f>
        <v>383.9</v>
      </c>
    </row>
    <row r="532" spans="8:19" ht="31.5">
      <c r="H532" s="2" t="s">
        <v>41</v>
      </c>
      <c r="I532" s="9">
        <v>668</v>
      </c>
      <c r="J532" s="11">
        <v>6</v>
      </c>
      <c r="K532" s="11">
        <v>5</v>
      </c>
      <c r="L532" s="57" t="s">
        <v>239</v>
      </c>
      <c r="M532" s="58" t="s">
        <v>220</v>
      </c>
      <c r="N532" s="58" t="s">
        <v>236</v>
      </c>
      <c r="O532" s="58" t="s">
        <v>261</v>
      </c>
      <c r="P532" s="7"/>
      <c r="Q532" s="124">
        <f aca="true" t="shared" si="50" ref="Q532:S533">Q533</f>
        <v>300</v>
      </c>
      <c r="R532" s="124">
        <f t="shared" si="50"/>
        <v>300</v>
      </c>
      <c r="S532" s="124">
        <f t="shared" si="50"/>
        <v>300</v>
      </c>
    </row>
    <row r="533" spans="8:19" ht="18.75">
      <c r="H533" s="2" t="s">
        <v>1005</v>
      </c>
      <c r="I533" s="9">
        <v>668</v>
      </c>
      <c r="J533" s="11">
        <v>6</v>
      </c>
      <c r="K533" s="11">
        <v>5</v>
      </c>
      <c r="L533" s="57" t="s">
        <v>239</v>
      </c>
      <c r="M533" s="58" t="s">
        <v>220</v>
      </c>
      <c r="N533" s="58" t="s">
        <v>236</v>
      </c>
      <c r="O533" s="58" t="s">
        <v>12</v>
      </c>
      <c r="P533" s="7"/>
      <c r="Q533" s="124">
        <f t="shared" si="50"/>
        <v>300</v>
      </c>
      <c r="R533" s="124">
        <f t="shared" si="50"/>
        <v>300</v>
      </c>
      <c r="S533" s="124">
        <f t="shared" si="50"/>
        <v>300</v>
      </c>
    </row>
    <row r="534" spans="8:19" ht="18.75">
      <c r="H534" s="2" t="str">
        <f>H522</f>
        <v>Иные закупки товаров, работ и услуг для обеспечения государственных (муниципальных) нужд</v>
      </c>
      <c r="I534" s="9">
        <v>668</v>
      </c>
      <c r="J534" s="11">
        <v>6</v>
      </c>
      <c r="K534" s="11">
        <v>5</v>
      </c>
      <c r="L534" s="57" t="s">
        <v>239</v>
      </c>
      <c r="M534" s="58" t="s">
        <v>220</v>
      </c>
      <c r="N534" s="58" t="s">
        <v>236</v>
      </c>
      <c r="O534" s="58" t="s">
        <v>12</v>
      </c>
      <c r="P534" s="7">
        <v>240</v>
      </c>
      <c r="Q534" s="124">
        <f>'приложение 5'!Q336</f>
        <v>300</v>
      </c>
      <c r="R534" s="124">
        <f>'приложение 5'!R336</f>
        <v>300</v>
      </c>
      <c r="S534" s="124">
        <f>'приложение 5'!S336</f>
        <v>300</v>
      </c>
    </row>
    <row r="535" spans="8:19" ht="31.5">
      <c r="H535" s="2" t="s">
        <v>522</v>
      </c>
      <c r="I535" s="263"/>
      <c r="J535" s="11">
        <v>6</v>
      </c>
      <c r="K535" s="11">
        <v>5</v>
      </c>
      <c r="L535" s="57" t="s">
        <v>494</v>
      </c>
      <c r="M535" s="58" t="s">
        <v>220</v>
      </c>
      <c r="N535" s="58" t="s">
        <v>229</v>
      </c>
      <c r="O535" s="58" t="s">
        <v>261</v>
      </c>
      <c r="P535" s="7"/>
      <c r="Q535" s="124">
        <f>Q539+Q536</f>
        <v>84.3</v>
      </c>
      <c r="R535" s="124">
        <f>R539+R536</f>
        <v>84.3</v>
      </c>
      <c r="S535" s="124">
        <f>S539+S536</f>
        <v>83.9</v>
      </c>
    </row>
    <row r="536" spans="8:19" ht="31.5" hidden="1">
      <c r="H536" s="2" t="s">
        <v>903</v>
      </c>
      <c r="I536" s="281"/>
      <c r="J536" s="13">
        <v>6</v>
      </c>
      <c r="K536" s="11">
        <v>5</v>
      </c>
      <c r="L536" s="57" t="s">
        <v>494</v>
      </c>
      <c r="M536" s="58" t="s">
        <v>220</v>
      </c>
      <c r="N536" s="58" t="s">
        <v>237</v>
      </c>
      <c r="O536" s="58" t="s">
        <v>261</v>
      </c>
      <c r="P536" s="3"/>
      <c r="Q536" s="124">
        <f aca="true" t="shared" si="51" ref="Q536:S537">Q537</f>
        <v>0</v>
      </c>
      <c r="R536" s="124">
        <f t="shared" si="51"/>
        <v>0</v>
      </c>
      <c r="S536" s="124">
        <f t="shared" si="51"/>
        <v>0</v>
      </c>
    </row>
    <row r="537" spans="8:19" ht="18.75" hidden="1">
      <c r="H537" s="303" t="s">
        <v>211</v>
      </c>
      <c r="I537" s="281"/>
      <c r="J537" s="13">
        <v>6</v>
      </c>
      <c r="K537" s="11">
        <v>5</v>
      </c>
      <c r="L537" s="57" t="s">
        <v>494</v>
      </c>
      <c r="M537" s="58" t="s">
        <v>220</v>
      </c>
      <c r="N537" s="58" t="s">
        <v>237</v>
      </c>
      <c r="O537" s="58" t="s">
        <v>434</v>
      </c>
      <c r="P537" s="3"/>
      <c r="Q537" s="124">
        <f t="shared" si="51"/>
        <v>0</v>
      </c>
      <c r="R537" s="124">
        <f t="shared" si="51"/>
        <v>0</v>
      </c>
      <c r="S537" s="124">
        <f t="shared" si="51"/>
        <v>0</v>
      </c>
    </row>
    <row r="538" spans="8:19" ht="18.75" hidden="1">
      <c r="H538" s="2" t="s">
        <v>300</v>
      </c>
      <c r="I538" s="281"/>
      <c r="J538" s="13">
        <v>6</v>
      </c>
      <c r="K538" s="11">
        <v>5</v>
      </c>
      <c r="L538" s="57" t="s">
        <v>494</v>
      </c>
      <c r="M538" s="58" t="s">
        <v>220</v>
      </c>
      <c r="N538" s="58" t="s">
        <v>237</v>
      </c>
      <c r="O538" s="58" t="s">
        <v>434</v>
      </c>
      <c r="P538" s="3">
        <v>850</v>
      </c>
      <c r="Q538" s="124">
        <f>'приложение 5'!Q998</f>
        <v>0</v>
      </c>
      <c r="R538" s="124">
        <f>'приложение 5'!R998</f>
        <v>0</v>
      </c>
      <c r="S538" s="124">
        <f>'приложение 5'!S998</f>
        <v>0</v>
      </c>
    </row>
    <row r="539" spans="8:19" ht="31.5">
      <c r="H539" s="2" t="s">
        <v>524</v>
      </c>
      <c r="I539" s="281"/>
      <c r="J539" s="11">
        <v>6</v>
      </c>
      <c r="K539" s="11">
        <v>5</v>
      </c>
      <c r="L539" s="57" t="s">
        <v>494</v>
      </c>
      <c r="M539" s="58" t="s">
        <v>220</v>
      </c>
      <c r="N539" s="58" t="s">
        <v>223</v>
      </c>
      <c r="O539" s="58" t="s">
        <v>261</v>
      </c>
      <c r="P539" s="7"/>
      <c r="Q539" s="124">
        <f>Q540</f>
        <v>84.3</v>
      </c>
      <c r="R539" s="124">
        <f>R540</f>
        <v>84.3</v>
      </c>
      <c r="S539" s="124">
        <f>S540</f>
        <v>83.9</v>
      </c>
    </row>
    <row r="540" spans="8:19" ht="18.75">
      <c r="H540" s="108" t="s">
        <v>342</v>
      </c>
      <c r="I540" s="339"/>
      <c r="J540" s="11">
        <v>6</v>
      </c>
      <c r="K540" s="11">
        <v>5</v>
      </c>
      <c r="L540" s="57" t="s">
        <v>494</v>
      </c>
      <c r="M540" s="58" t="s">
        <v>220</v>
      </c>
      <c r="N540" s="58" t="s">
        <v>223</v>
      </c>
      <c r="O540" s="58" t="s">
        <v>341</v>
      </c>
      <c r="P540" s="7"/>
      <c r="Q540" s="124">
        <f>Q541+Q542</f>
        <v>84.3</v>
      </c>
      <c r="R540" s="124">
        <f>R541+R542</f>
        <v>84.3</v>
      </c>
      <c r="S540" s="124">
        <f>S541+S542</f>
        <v>83.9</v>
      </c>
    </row>
    <row r="541" spans="8:19" ht="18.75">
      <c r="H541" s="2" t="s">
        <v>204</v>
      </c>
      <c r="I541" s="263"/>
      <c r="J541" s="11">
        <v>6</v>
      </c>
      <c r="K541" s="11">
        <v>5</v>
      </c>
      <c r="L541" s="57" t="s">
        <v>494</v>
      </c>
      <c r="M541" s="58" t="s">
        <v>220</v>
      </c>
      <c r="N541" s="58" t="s">
        <v>223</v>
      </c>
      <c r="O541" s="58" t="s">
        <v>341</v>
      </c>
      <c r="P541" s="7">
        <v>120</v>
      </c>
      <c r="Q541" s="124">
        <f>'приложение 5'!Q340</f>
        <v>74.3</v>
      </c>
      <c r="R541" s="124">
        <f>'приложение 5'!R340</f>
        <v>60.1</v>
      </c>
      <c r="S541" s="124">
        <f>'приложение 5'!S340</f>
        <v>60.1</v>
      </c>
    </row>
    <row r="542" spans="8:19" ht="18.75">
      <c r="H542" s="2" t="str">
        <f>H534</f>
        <v>Иные закупки товаров, работ и услуг для обеспечения государственных (муниципальных) нужд</v>
      </c>
      <c r="I542" s="263"/>
      <c r="J542" s="11">
        <v>6</v>
      </c>
      <c r="K542" s="11">
        <v>5</v>
      </c>
      <c r="L542" s="57" t="s">
        <v>494</v>
      </c>
      <c r="M542" s="58" t="s">
        <v>220</v>
      </c>
      <c r="N542" s="58" t="s">
        <v>223</v>
      </c>
      <c r="O542" s="58" t="s">
        <v>341</v>
      </c>
      <c r="P542" s="7">
        <v>240</v>
      </c>
      <c r="Q542" s="124">
        <f>'приложение 5'!Q341</f>
        <v>10</v>
      </c>
      <c r="R542" s="124">
        <f>'приложение 5'!R341</f>
        <v>24.2</v>
      </c>
      <c r="S542" s="124">
        <f>'приложение 5'!S341</f>
        <v>23.8</v>
      </c>
    </row>
    <row r="543" spans="8:19" ht="19.5">
      <c r="H543" s="227" t="s">
        <v>246</v>
      </c>
      <c r="I543" s="297"/>
      <c r="J543" s="86">
        <v>7</v>
      </c>
      <c r="K543" s="86" t="s">
        <v>262</v>
      </c>
      <c r="L543" s="87"/>
      <c r="M543" s="88"/>
      <c r="N543" s="88"/>
      <c r="O543" s="88"/>
      <c r="P543" s="85"/>
      <c r="Q543" s="123">
        <f>Q544+Q576+Q633+Q653+Q670</f>
        <v>425347.1</v>
      </c>
      <c r="R543" s="123">
        <f>R544+R576+R633+R653+R670</f>
        <v>389844.50000000006</v>
      </c>
      <c r="S543" s="123">
        <f>S544+S576+S633+S653+S670</f>
        <v>432226.8</v>
      </c>
    </row>
    <row r="544" spans="8:19" ht="19.5">
      <c r="H544" s="227" t="s">
        <v>77</v>
      </c>
      <c r="I544" s="280"/>
      <c r="J544" s="95">
        <v>7</v>
      </c>
      <c r="K544" s="86">
        <v>1</v>
      </c>
      <c r="L544" s="87"/>
      <c r="M544" s="88"/>
      <c r="N544" s="88"/>
      <c r="O544" s="88"/>
      <c r="P544" s="93"/>
      <c r="Q544" s="127">
        <f>Q552+Q545</f>
        <v>128693.59999999999</v>
      </c>
      <c r="R544" s="127">
        <f>R552+R545</f>
        <v>111982.5</v>
      </c>
      <c r="S544" s="127">
        <f>S552+S545</f>
        <v>114570.3</v>
      </c>
    </row>
    <row r="545" spans="8:19" ht="31.5">
      <c r="H545" s="2" t="s">
        <v>583</v>
      </c>
      <c r="I545" s="298"/>
      <c r="J545" s="15">
        <v>7</v>
      </c>
      <c r="K545" s="11">
        <v>1</v>
      </c>
      <c r="L545" s="57" t="s">
        <v>221</v>
      </c>
      <c r="M545" s="58" t="s">
        <v>220</v>
      </c>
      <c r="N545" s="58" t="s">
        <v>229</v>
      </c>
      <c r="O545" s="58" t="s">
        <v>261</v>
      </c>
      <c r="P545" s="3"/>
      <c r="Q545" s="126">
        <f>Q546+Q549</f>
        <v>127.39999999999999</v>
      </c>
      <c r="R545" s="126">
        <f>R546+R549</f>
        <v>0</v>
      </c>
      <c r="S545" s="126">
        <f>S546+S549</f>
        <v>0</v>
      </c>
    </row>
    <row r="546" spans="8:19" ht="31.5">
      <c r="H546" s="2" t="s">
        <v>50</v>
      </c>
      <c r="I546" s="298"/>
      <c r="J546" s="15">
        <v>7</v>
      </c>
      <c r="K546" s="11">
        <v>1</v>
      </c>
      <c r="L546" s="57" t="s">
        <v>221</v>
      </c>
      <c r="M546" s="58" t="s">
        <v>220</v>
      </c>
      <c r="N546" s="58" t="s">
        <v>236</v>
      </c>
      <c r="O546" s="58" t="s">
        <v>261</v>
      </c>
      <c r="P546" s="3"/>
      <c r="Q546" s="126">
        <f aca="true" t="shared" si="52" ref="Q546:S547">Q547</f>
        <v>125.1</v>
      </c>
      <c r="R546" s="126">
        <f t="shared" si="52"/>
        <v>0</v>
      </c>
      <c r="S546" s="126">
        <f t="shared" si="52"/>
        <v>0</v>
      </c>
    </row>
    <row r="547" spans="8:19" ht="18.75">
      <c r="H547" s="25" t="s">
        <v>53</v>
      </c>
      <c r="I547" s="298"/>
      <c r="J547" s="15">
        <v>7</v>
      </c>
      <c r="K547" s="11">
        <v>1</v>
      </c>
      <c r="L547" s="57" t="s">
        <v>221</v>
      </c>
      <c r="M547" s="58" t="s">
        <v>220</v>
      </c>
      <c r="N547" s="58" t="s">
        <v>236</v>
      </c>
      <c r="O547" s="58" t="s">
        <v>48</v>
      </c>
      <c r="P547" s="3"/>
      <c r="Q547" s="126">
        <f t="shared" si="52"/>
        <v>125.1</v>
      </c>
      <c r="R547" s="126">
        <f t="shared" si="52"/>
        <v>0</v>
      </c>
      <c r="S547" s="126">
        <f t="shared" si="52"/>
        <v>0</v>
      </c>
    </row>
    <row r="548" spans="8:19" ht="18.75">
      <c r="H548" s="25" t="s">
        <v>301</v>
      </c>
      <c r="I548" s="298"/>
      <c r="J548" s="15">
        <v>7</v>
      </c>
      <c r="K548" s="11">
        <v>1</v>
      </c>
      <c r="L548" s="57" t="s">
        <v>221</v>
      </c>
      <c r="M548" s="58" t="s">
        <v>220</v>
      </c>
      <c r="N548" s="58" t="s">
        <v>236</v>
      </c>
      <c r="O548" s="58" t="s">
        <v>48</v>
      </c>
      <c r="P548" s="3">
        <v>610</v>
      </c>
      <c r="Q548" s="126">
        <f>'приложение 5'!Q732</f>
        <v>125.1</v>
      </c>
      <c r="R548" s="126">
        <f>'приложение 5'!R732</f>
        <v>0</v>
      </c>
      <c r="S548" s="126">
        <f>'приложение 5'!S732</f>
        <v>0</v>
      </c>
    </row>
    <row r="549" spans="8:19" ht="31.5">
      <c r="H549" s="2" t="s">
        <v>289</v>
      </c>
      <c r="I549" s="298"/>
      <c r="J549" s="15">
        <v>7</v>
      </c>
      <c r="K549" s="11">
        <v>1</v>
      </c>
      <c r="L549" s="57" t="s">
        <v>221</v>
      </c>
      <c r="M549" s="58" t="s">
        <v>220</v>
      </c>
      <c r="N549" s="58" t="s">
        <v>232</v>
      </c>
      <c r="O549" s="58" t="s">
        <v>261</v>
      </c>
      <c r="P549" s="3"/>
      <c r="Q549" s="126">
        <f aca="true" t="shared" si="53" ref="Q549:S550">Q550</f>
        <v>2.3</v>
      </c>
      <c r="R549" s="126">
        <f t="shared" si="53"/>
        <v>0</v>
      </c>
      <c r="S549" s="126">
        <f t="shared" si="53"/>
        <v>0</v>
      </c>
    </row>
    <row r="550" spans="8:19" ht="18.75">
      <c r="H550" s="303" t="s">
        <v>53</v>
      </c>
      <c r="I550" s="298"/>
      <c r="J550" s="15">
        <v>7</v>
      </c>
      <c r="K550" s="11">
        <v>1</v>
      </c>
      <c r="L550" s="57" t="s">
        <v>221</v>
      </c>
      <c r="M550" s="58" t="s">
        <v>220</v>
      </c>
      <c r="N550" s="58" t="s">
        <v>232</v>
      </c>
      <c r="O550" s="58" t="s">
        <v>48</v>
      </c>
      <c r="P550" s="3"/>
      <c r="Q550" s="126">
        <f t="shared" si="53"/>
        <v>2.3</v>
      </c>
      <c r="R550" s="126">
        <f t="shared" si="53"/>
        <v>0</v>
      </c>
      <c r="S550" s="126">
        <f t="shared" si="53"/>
        <v>0</v>
      </c>
    </row>
    <row r="551" spans="8:19" ht="18.75">
      <c r="H551" s="25" t="s">
        <v>301</v>
      </c>
      <c r="I551" s="298"/>
      <c r="J551" s="15">
        <v>7</v>
      </c>
      <c r="K551" s="11">
        <v>1</v>
      </c>
      <c r="L551" s="57" t="s">
        <v>221</v>
      </c>
      <c r="M551" s="58" t="s">
        <v>220</v>
      </c>
      <c r="N551" s="58" t="s">
        <v>232</v>
      </c>
      <c r="O551" s="58" t="s">
        <v>48</v>
      </c>
      <c r="P551" s="3">
        <v>610</v>
      </c>
      <c r="Q551" s="126">
        <f>'приложение 5'!Q735</f>
        <v>2.3</v>
      </c>
      <c r="R551" s="126">
        <f>'приложение 5'!R735</f>
        <v>0</v>
      </c>
      <c r="S551" s="126">
        <f>'приложение 5'!S735</f>
        <v>0</v>
      </c>
    </row>
    <row r="552" spans="8:19" ht="31.5">
      <c r="H552" s="2" t="s">
        <v>581</v>
      </c>
      <c r="I552" s="267"/>
      <c r="J552" s="15">
        <v>7</v>
      </c>
      <c r="K552" s="11">
        <v>1</v>
      </c>
      <c r="L552" s="57" t="s">
        <v>232</v>
      </c>
      <c r="M552" s="58" t="s">
        <v>220</v>
      </c>
      <c r="N552" s="58" t="s">
        <v>229</v>
      </c>
      <c r="O552" s="58" t="s">
        <v>261</v>
      </c>
      <c r="P552" s="7"/>
      <c r="Q552" s="124">
        <f>Q553+Q566+Q563</f>
        <v>128566.2</v>
      </c>
      <c r="R552" s="124">
        <f>R553+R566+R563</f>
        <v>111982.5</v>
      </c>
      <c r="S552" s="124">
        <f>S553+S566+S563</f>
        <v>114570.3</v>
      </c>
    </row>
    <row r="553" spans="8:19" ht="18.75">
      <c r="H553" s="2" t="s">
        <v>270</v>
      </c>
      <c r="I553" s="263"/>
      <c r="J553" s="15">
        <v>7</v>
      </c>
      <c r="K553" s="11">
        <v>1</v>
      </c>
      <c r="L553" s="57" t="s">
        <v>232</v>
      </c>
      <c r="M553" s="58" t="s">
        <v>220</v>
      </c>
      <c r="N553" s="58" t="s">
        <v>221</v>
      </c>
      <c r="O553" s="58" t="s">
        <v>261</v>
      </c>
      <c r="P553" s="7"/>
      <c r="Q553" s="124">
        <f>Q554+Q559+Q561+Q557</f>
        <v>108123.4</v>
      </c>
      <c r="R553" s="124">
        <f>R554+R559+R561+R557</f>
        <v>111982.5</v>
      </c>
      <c r="S553" s="124">
        <f>S554+S559+S561+S557</f>
        <v>114570.3</v>
      </c>
    </row>
    <row r="554" spans="8:19" ht="18.75">
      <c r="H554" s="2" t="s">
        <v>53</v>
      </c>
      <c r="I554" s="265"/>
      <c r="J554" s="15">
        <v>7</v>
      </c>
      <c r="K554" s="11">
        <v>1</v>
      </c>
      <c r="L554" s="57" t="s">
        <v>232</v>
      </c>
      <c r="M554" s="58" t="s">
        <v>220</v>
      </c>
      <c r="N554" s="58" t="s">
        <v>221</v>
      </c>
      <c r="O554" s="58" t="s">
        <v>48</v>
      </c>
      <c r="P554" s="7"/>
      <c r="Q554" s="124">
        <f>Q555+Q556</f>
        <v>20803.2</v>
      </c>
      <c r="R554" s="124">
        <f>R555+R556</f>
        <v>21572.600000000002</v>
      </c>
      <c r="S554" s="124">
        <f>S555+S556</f>
        <v>19863.1</v>
      </c>
    </row>
    <row r="555" spans="8:19" ht="18.75">
      <c r="H555" s="2" t="s">
        <v>301</v>
      </c>
      <c r="I555" s="267"/>
      <c r="J555" s="15">
        <v>7</v>
      </c>
      <c r="K555" s="11">
        <v>1</v>
      </c>
      <c r="L555" s="57" t="s">
        <v>232</v>
      </c>
      <c r="M555" s="58" t="s">
        <v>220</v>
      </c>
      <c r="N555" s="58" t="s">
        <v>221</v>
      </c>
      <c r="O555" s="58" t="s">
        <v>48</v>
      </c>
      <c r="P555" s="7">
        <v>610</v>
      </c>
      <c r="Q555" s="124">
        <f>'приложение 5'!Q739</f>
        <v>20748.7</v>
      </c>
      <c r="R555" s="124">
        <f>'приложение 5'!R739</f>
        <v>21572.600000000002</v>
      </c>
      <c r="S555" s="124">
        <f>'приложение 5'!S739</f>
        <v>19863.1</v>
      </c>
    </row>
    <row r="556" spans="8:19" ht="18.75">
      <c r="H556" s="2" t="s">
        <v>299</v>
      </c>
      <c r="I556" s="267"/>
      <c r="J556" s="15">
        <v>7</v>
      </c>
      <c r="K556" s="11">
        <v>1</v>
      </c>
      <c r="L556" s="57" t="s">
        <v>232</v>
      </c>
      <c r="M556" s="58" t="s">
        <v>220</v>
      </c>
      <c r="N556" s="58" t="s">
        <v>221</v>
      </c>
      <c r="O556" s="58" t="s">
        <v>48</v>
      </c>
      <c r="P556" s="7">
        <v>240</v>
      </c>
      <c r="Q556" s="124">
        <f>'приложение 5'!Q740</f>
        <v>54.5</v>
      </c>
      <c r="R556" s="124">
        <f>'приложение 5'!R740</f>
        <v>0</v>
      </c>
      <c r="S556" s="124">
        <f>'приложение 5'!S740</f>
        <v>0</v>
      </c>
    </row>
    <row r="557" spans="8:19" ht="18.75">
      <c r="H557" s="2" t="str">
        <f>H592</f>
        <v>Школы - детские сады, школы начальные, неполные средние и средние</v>
      </c>
      <c r="I557" s="267"/>
      <c r="J557" s="15">
        <v>7</v>
      </c>
      <c r="K557" s="11">
        <v>1</v>
      </c>
      <c r="L557" s="57" t="s">
        <v>232</v>
      </c>
      <c r="M557" s="58" t="s">
        <v>220</v>
      </c>
      <c r="N557" s="58" t="s">
        <v>221</v>
      </c>
      <c r="O557" s="58" t="s">
        <v>49</v>
      </c>
      <c r="P557" s="7"/>
      <c r="Q557" s="124">
        <f>Q558</f>
        <v>65.4</v>
      </c>
      <c r="R557" s="126">
        <v>0</v>
      </c>
      <c r="S557" s="126">
        <v>0</v>
      </c>
    </row>
    <row r="558" spans="8:19" ht="18.75">
      <c r="H558" s="2" t="str">
        <f>H555</f>
        <v>Субсидии бюджетным учреждениям</v>
      </c>
      <c r="I558" s="267"/>
      <c r="J558" s="15">
        <v>7</v>
      </c>
      <c r="K558" s="11">
        <v>1</v>
      </c>
      <c r="L558" s="57" t="s">
        <v>232</v>
      </c>
      <c r="M558" s="58" t="s">
        <v>220</v>
      </c>
      <c r="N558" s="58" t="s">
        <v>221</v>
      </c>
      <c r="O558" s="58" t="s">
        <v>49</v>
      </c>
      <c r="P558" s="7">
        <v>610</v>
      </c>
      <c r="Q558" s="124">
        <f>'приложение 5'!Q742</f>
        <v>65.4</v>
      </c>
      <c r="R558" s="124">
        <f>'приложение 5'!R742</f>
        <v>0</v>
      </c>
      <c r="S558" s="124">
        <f>'приложение 5'!S742</f>
        <v>0</v>
      </c>
    </row>
    <row r="559" spans="8:19" ht="31.5">
      <c r="H559" s="2" t="s">
        <v>374</v>
      </c>
      <c r="I559" s="267"/>
      <c r="J559" s="15">
        <v>7</v>
      </c>
      <c r="K559" s="11">
        <v>1</v>
      </c>
      <c r="L559" s="57" t="s">
        <v>232</v>
      </c>
      <c r="M559" s="58" t="s">
        <v>220</v>
      </c>
      <c r="N559" s="58" t="s">
        <v>221</v>
      </c>
      <c r="O559" s="58" t="s">
        <v>373</v>
      </c>
      <c r="P559" s="7"/>
      <c r="Q559" s="124">
        <f>Q560</f>
        <v>6543.6</v>
      </c>
      <c r="R559" s="124">
        <f>R560</f>
        <v>6802</v>
      </c>
      <c r="S559" s="124">
        <f>S560</f>
        <v>7154.1</v>
      </c>
    </row>
    <row r="560" spans="8:19" ht="18.75">
      <c r="H560" s="2" t="s">
        <v>301</v>
      </c>
      <c r="I560" s="267"/>
      <c r="J560" s="15">
        <v>7</v>
      </c>
      <c r="K560" s="11">
        <v>1</v>
      </c>
      <c r="L560" s="57" t="s">
        <v>232</v>
      </c>
      <c r="M560" s="58" t="s">
        <v>220</v>
      </c>
      <c r="N560" s="58" t="s">
        <v>221</v>
      </c>
      <c r="O560" s="58" t="s">
        <v>373</v>
      </c>
      <c r="P560" s="3">
        <v>610</v>
      </c>
      <c r="Q560" s="126">
        <f>'приложение 5'!Q744</f>
        <v>6543.6</v>
      </c>
      <c r="R560" s="126">
        <f>'приложение 5'!R744</f>
        <v>6802</v>
      </c>
      <c r="S560" s="126">
        <f>'приложение 5'!S744</f>
        <v>7154.1</v>
      </c>
    </row>
    <row r="561" spans="8:19" ht="31.5">
      <c r="H561" s="2" t="s">
        <v>55</v>
      </c>
      <c r="I561" s="263"/>
      <c r="J561" s="11">
        <v>7</v>
      </c>
      <c r="K561" s="11">
        <v>1</v>
      </c>
      <c r="L561" s="57" t="s">
        <v>232</v>
      </c>
      <c r="M561" s="58" t="s">
        <v>220</v>
      </c>
      <c r="N561" s="58" t="s">
        <v>221</v>
      </c>
      <c r="O561" s="58" t="s">
        <v>54</v>
      </c>
      <c r="P561" s="3"/>
      <c r="Q561" s="126">
        <f>Q562</f>
        <v>80711.2</v>
      </c>
      <c r="R561" s="126">
        <f>R562</f>
        <v>83607.9</v>
      </c>
      <c r="S561" s="126">
        <f>S562</f>
        <v>87553.1</v>
      </c>
    </row>
    <row r="562" spans="8:19" ht="18.75">
      <c r="H562" s="2" t="s">
        <v>301</v>
      </c>
      <c r="I562" s="301"/>
      <c r="J562" s="11">
        <v>7</v>
      </c>
      <c r="K562" s="11">
        <v>1</v>
      </c>
      <c r="L562" s="57" t="s">
        <v>232</v>
      </c>
      <c r="M562" s="58" t="s">
        <v>220</v>
      </c>
      <c r="N562" s="58" t="s">
        <v>221</v>
      </c>
      <c r="O562" s="58" t="s">
        <v>54</v>
      </c>
      <c r="P562" s="3">
        <v>610</v>
      </c>
      <c r="Q562" s="126">
        <f>'приложение 5'!Q746</f>
        <v>80711.2</v>
      </c>
      <c r="R562" s="126">
        <f>'приложение 5'!R746</f>
        <v>83607.9</v>
      </c>
      <c r="S562" s="126">
        <f>'приложение 5'!S746</f>
        <v>87553.1</v>
      </c>
    </row>
    <row r="563" spans="8:19" ht="18.75" hidden="1">
      <c r="H563" s="2" t="s">
        <v>271</v>
      </c>
      <c r="I563" s="301"/>
      <c r="J563" s="11">
        <v>7</v>
      </c>
      <c r="K563" s="11">
        <v>1</v>
      </c>
      <c r="L563" s="57" t="s">
        <v>232</v>
      </c>
      <c r="M563" s="58" t="s">
        <v>220</v>
      </c>
      <c r="N563" s="58" t="s">
        <v>236</v>
      </c>
      <c r="O563" s="58" t="s">
        <v>261</v>
      </c>
      <c r="P563" s="3"/>
      <c r="Q563" s="126">
        <f aca="true" t="shared" si="54" ref="Q563:S564">Q564</f>
        <v>0</v>
      </c>
      <c r="R563" s="126">
        <f t="shared" si="54"/>
        <v>0</v>
      </c>
      <c r="S563" s="126">
        <f t="shared" si="54"/>
        <v>0</v>
      </c>
    </row>
    <row r="564" spans="8:19" ht="18.75" hidden="1">
      <c r="H564" s="2" t="s">
        <v>56</v>
      </c>
      <c r="I564" s="301"/>
      <c r="J564" s="11">
        <v>7</v>
      </c>
      <c r="K564" s="11">
        <v>1</v>
      </c>
      <c r="L564" s="57" t="s">
        <v>232</v>
      </c>
      <c r="M564" s="58" t="s">
        <v>220</v>
      </c>
      <c r="N564" s="58" t="s">
        <v>236</v>
      </c>
      <c r="O564" s="58" t="s">
        <v>49</v>
      </c>
      <c r="P564" s="3"/>
      <c r="Q564" s="126">
        <f t="shared" si="54"/>
        <v>0</v>
      </c>
      <c r="R564" s="126">
        <f t="shared" si="54"/>
        <v>0</v>
      </c>
      <c r="S564" s="126">
        <f t="shared" si="54"/>
        <v>0</v>
      </c>
    </row>
    <row r="565" spans="8:19" ht="18.75" hidden="1">
      <c r="H565" s="2" t="s">
        <v>301</v>
      </c>
      <c r="I565" s="301"/>
      <c r="J565" s="11">
        <v>7</v>
      </c>
      <c r="K565" s="11">
        <v>1</v>
      </c>
      <c r="L565" s="57" t="s">
        <v>232</v>
      </c>
      <c r="M565" s="58" t="s">
        <v>220</v>
      </c>
      <c r="N565" s="58" t="s">
        <v>236</v>
      </c>
      <c r="O565" s="58" t="s">
        <v>49</v>
      </c>
      <c r="P565" s="3">
        <v>610</v>
      </c>
      <c r="Q565" s="126">
        <f>'приложение 5'!Q749</f>
        <v>0</v>
      </c>
      <c r="R565" s="126">
        <f>'приложение 5'!R749</f>
        <v>0</v>
      </c>
      <c r="S565" s="126">
        <f>'приложение 5'!S749</f>
        <v>0</v>
      </c>
    </row>
    <row r="566" spans="8:19" ht="18.75">
      <c r="H566" s="2" t="str">
        <f>'приложение 5'!H750</f>
        <v>Основное мероприятие "Модернизация сети муниципальных образовательных учреждений"</v>
      </c>
      <c r="I566" s="301">
        <f>'приложение 5'!I750</f>
        <v>672</v>
      </c>
      <c r="J566" s="11">
        <f>'приложение 5'!J750</f>
        <v>7</v>
      </c>
      <c r="K566" s="11">
        <f>'приложение 5'!K750</f>
        <v>1</v>
      </c>
      <c r="L566" s="57" t="str">
        <f>'приложение 5'!L750</f>
        <v>04</v>
      </c>
      <c r="M566" s="58" t="str">
        <f>'приложение 5'!M750</f>
        <v>0</v>
      </c>
      <c r="N566" s="58" t="str">
        <f>'приложение 5'!N750</f>
        <v>05</v>
      </c>
      <c r="O566" s="58" t="str">
        <f>'приложение 5'!O750</f>
        <v>00000</v>
      </c>
      <c r="P566" s="3" t="s">
        <v>262</v>
      </c>
      <c r="Q566" s="126">
        <f>Q567+Q569+Q574+Q572</f>
        <v>20442.8</v>
      </c>
      <c r="R566" s="126">
        <f>R567+R569+R574+R572</f>
        <v>0</v>
      </c>
      <c r="S566" s="126">
        <f>S567+S569+S574+S572</f>
        <v>0</v>
      </c>
    </row>
    <row r="567" spans="8:19" ht="47.25">
      <c r="H567" s="2" t="s">
        <v>983</v>
      </c>
      <c r="I567" s="301"/>
      <c r="J567" s="11">
        <v>7</v>
      </c>
      <c r="K567" s="11">
        <v>1</v>
      </c>
      <c r="L567" s="57" t="s">
        <v>232</v>
      </c>
      <c r="M567" s="58" t="s">
        <v>220</v>
      </c>
      <c r="N567" s="58" t="s">
        <v>223</v>
      </c>
      <c r="O567" s="58" t="s">
        <v>982</v>
      </c>
      <c r="P567" s="3"/>
      <c r="Q567" s="126">
        <f>Q568</f>
        <v>120</v>
      </c>
      <c r="R567" s="126">
        <f>R568</f>
        <v>0</v>
      </c>
      <c r="S567" s="126">
        <f>S568</f>
        <v>0</v>
      </c>
    </row>
    <row r="568" spans="8:19" ht="18.75">
      <c r="H568" s="2" t="s">
        <v>301</v>
      </c>
      <c r="I568" s="301"/>
      <c r="J568" s="11">
        <v>7</v>
      </c>
      <c r="K568" s="11">
        <v>1</v>
      </c>
      <c r="L568" s="57" t="s">
        <v>232</v>
      </c>
      <c r="M568" s="58" t="s">
        <v>220</v>
      </c>
      <c r="N568" s="58" t="s">
        <v>223</v>
      </c>
      <c r="O568" s="58" t="s">
        <v>982</v>
      </c>
      <c r="P568" s="3">
        <v>610</v>
      </c>
      <c r="Q568" s="126">
        <f>'приложение 5'!Q752</f>
        <v>120</v>
      </c>
      <c r="R568" s="126">
        <f>'приложение 5'!R752</f>
        <v>0</v>
      </c>
      <c r="S568" s="126">
        <f>'приложение 5'!S752</f>
        <v>0</v>
      </c>
    </row>
    <row r="569" spans="8:19" ht="31.5">
      <c r="H569" s="2" t="s">
        <v>986</v>
      </c>
      <c r="I569" s="301"/>
      <c r="J569" s="11">
        <v>7</v>
      </c>
      <c r="K569" s="11">
        <v>1</v>
      </c>
      <c r="L569" s="57" t="s">
        <v>232</v>
      </c>
      <c r="M569" s="58" t="s">
        <v>220</v>
      </c>
      <c r="N569" s="58" t="s">
        <v>223</v>
      </c>
      <c r="O569" s="58" t="s">
        <v>985</v>
      </c>
      <c r="P569" s="3"/>
      <c r="Q569" s="126">
        <f>Q570+Q571</f>
        <v>16233.9</v>
      </c>
      <c r="R569" s="126">
        <f>R570+R571</f>
        <v>0</v>
      </c>
      <c r="S569" s="126">
        <f>S570+S571</f>
        <v>0</v>
      </c>
    </row>
    <row r="570" spans="8:19" ht="18.75">
      <c r="H570" s="2" t="s">
        <v>301</v>
      </c>
      <c r="I570" s="301"/>
      <c r="J570" s="11">
        <v>7</v>
      </c>
      <c r="K570" s="11">
        <v>1</v>
      </c>
      <c r="L570" s="57" t="s">
        <v>232</v>
      </c>
      <c r="M570" s="58" t="s">
        <v>220</v>
      </c>
      <c r="N570" s="58" t="s">
        <v>223</v>
      </c>
      <c r="O570" s="58" t="s">
        <v>985</v>
      </c>
      <c r="P570" s="3">
        <v>610</v>
      </c>
      <c r="Q570" s="126">
        <f>'приложение 5'!Q754</f>
        <v>16233.9</v>
      </c>
      <c r="R570" s="126">
        <f>'приложение 5'!R754</f>
        <v>0</v>
      </c>
      <c r="S570" s="126">
        <f>'приложение 5'!S754</f>
        <v>0</v>
      </c>
    </row>
    <row r="571" spans="8:19" ht="18.75">
      <c r="H571" s="2" t="s">
        <v>299</v>
      </c>
      <c r="I571" s="301"/>
      <c r="J571" s="11">
        <v>7</v>
      </c>
      <c r="K571" s="11">
        <v>1</v>
      </c>
      <c r="L571" s="57" t="s">
        <v>232</v>
      </c>
      <c r="M571" s="58" t="s">
        <v>220</v>
      </c>
      <c r="N571" s="58" t="s">
        <v>223</v>
      </c>
      <c r="O571" s="58" t="s">
        <v>985</v>
      </c>
      <c r="P571" s="3">
        <v>240</v>
      </c>
      <c r="Q571" s="126">
        <f>'приложение 5'!Q755</f>
        <v>0</v>
      </c>
      <c r="R571" s="126">
        <f>'приложение 5'!R755</f>
        <v>0</v>
      </c>
      <c r="S571" s="126">
        <f>'приложение 5'!S755</f>
        <v>0</v>
      </c>
    </row>
    <row r="572" spans="8:19" ht="18.75">
      <c r="H572" s="2" t="s">
        <v>1067</v>
      </c>
      <c r="I572" s="301"/>
      <c r="J572" s="11">
        <v>7</v>
      </c>
      <c r="K572" s="11">
        <v>1</v>
      </c>
      <c r="L572" s="57" t="s">
        <v>232</v>
      </c>
      <c r="M572" s="58" t="s">
        <v>220</v>
      </c>
      <c r="N572" s="58" t="s">
        <v>223</v>
      </c>
      <c r="O572" s="58" t="s">
        <v>1068</v>
      </c>
      <c r="P572" s="3"/>
      <c r="Q572" s="126">
        <f>Q573</f>
        <v>801.2</v>
      </c>
      <c r="R572" s="126">
        <f>R573</f>
        <v>0</v>
      </c>
      <c r="S572" s="126">
        <f>S573</f>
        <v>0</v>
      </c>
    </row>
    <row r="573" spans="8:19" ht="18.75">
      <c r="H573" s="2" t="s">
        <v>301</v>
      </c>
      <c r="I573" s="301"/>
      <c r="J573" s="11">
        <v>7</v>
      </c>
      <c r="K573" s="11">
        <v>1</v>
      </c>
      <c r="L573" s="57" t="s">
        <v>232</v>
      </c>
      <c r="M573" s="58" t="s">
        <v>220</v>
      </c>
      <c r="N573" s="58" t="s">
        <v>223</v>
      </c>
      <c r="O573" s="58" t="s">
        <v>1068</v>
      </c>
      <c r="P573" s="3">
        <v>610</v>
      </c>
      <c r="Q573" s="126">
        <f>'приложение 5'!Q757</f>
        <v>801.2</v>
      </c>
      <c r="R573" s="126">
        <f>'приложение 5'!R757</f>
        <v>0</v>
      </c>
      <c r="S573" s="126">
        <f>'приложение 5'!S757</f>
        <v>0</v>
      </c>
    </row>
    <row r="574" spans="8:19" ht="18.75">
      <c r="H574" s="2" t="str">
        <f>'приложение 5'!H758</f>
        <v>Детские дошкольные учреждения</v>
      </c>
      <c r="I574" s="301">
        <f>'приложение 5'!I758</f>
        <v>672</v>
      </c>
      <c r="J574" s="11">
        <f>'приложение 5'!J758</f>
        <v>7</v>
      </c>
      <c r="K574" s="11">
        <f>'приложение 5'!K758</f>
        <v>1</v>
      </c>
      <c r="L574" s="57" t="str">
        <f>'приложение 5'!L758</f>
        <v>04</v>
      </c>
      <c r="M574" s="58" t="str">
        <f>'приложение 5'!M758</f>
        <v>0</v>
      </c>
      <c r="N574" s="58" t="str">
        <f>'приложение 5'!N758</f>
        <v>05</v>
      </c>
      <c r="O574" s="58" t="str">
        <f>'приложение 5'!O758</f>
        <v>12590</v>
      </c>
      <c r="P574" s="3" t="s">
        <v>262</v>
      </c>
      <c r="Q574" s="126">
        <f>'приложение 5'!Q758</f>
        <v>3287.7</v>
      </c>
      <c r="R574" s="126">
        <f>'приложение 5'!R758</f>
        <v>0</v>
      </c>
      <c r="S574" s="126">
        <f>'приложение 5'!S758</f>
        <v>0</v>
      </c>
    </row>
    <row r="575" spans="8:19" ht="18.75">
      <c r="H575" s="2" t="str">
        <f>'приложение 5'!H759</f>
        <v>Субсидии бюджетным учреждениям</v>
      </c>
      <c r="I575" s="301">
        <f>'приложение 5'!I759</f>
        <v>672</v>
      </c>
      <c r="J575" s="11">
        <f>'приложение 5'!J759</f>
        <v>7</v>
      </c>
      <c r="K575" s="11">
        <f>'приложение 5'!K759</f>
        <v>1</v>
      </c>
      <c r="L575" s="57" t="str">
        <f>'приложение 5'!L759</f>
        <v>04</v>
      </c>
      <c r="M575" s="58" t="str">
        <f>'приложение 5'!M759</f>
        <v>0</v>
      </c>
      <c r="N575" s="58" t="str">
        <f>'приложение 5'!N759</f>
        <v>05</v>
      </c>
      <c r="O575" s="58" t="str">
        <f>'приложение 5'!O759</f>
        <v>12590</v>
      </c>
      <c r="P575" s="3">
        <f>'приложение 5'!P759</f>
        <v>610</v>
      </c>
      <c r="Q575" s="126">
        <f>'приложение 5'!Q759</f>
        <v>3287.7</v>
      </c>
      <c r="R575" s="126">
        <f>'приложение 5'!R759</f>
        <v>0</v>
      </c>
      <c r="S575" s="126">
        <f>'приложение 5'!S759</f>
        <v>0</v>
      </c>
    </row>
    <row r="576" spans="8:19" ht="19.5">
      <c r="H576" s="227" t="s">
        <v>209</v>
      </c>
      <c r="I576" s="297"/>
      <c r="J576" s="86">
        <v>7</v>
      </c>
      <c r="K576" s="86">
        <v>2</v>
      </c>
      <c r="L576" s="87"/>
      <c r="M576" s="88"/>
      <c r="N576" s="88"/>
      <c r="O576" s="88"/>
      <c r="P576" s="93"/>
      <c r="Q576" s="127">
        <f>Q587+Q629+Q577</f>
        <v>239780.09999999998</v>
      </c>
      <c r="R576" s="127">
        <f>R587+R629+R577</f>
        <v>227397.90000000002</v>
      </c>
      <c r="S576" s="127">
        <f>S587+S629+S577</f>
        <v>234846.4</v>
      </c>
    </row>
    <row r="577" spans="8:19" ht="31.5">
      <c r="H577" s="2" t="s">
        <v>583</v>
      </c>
      <c r="I577" s="347"/>
      <c r="J577" s="11">
        <v>7</v>
      </c>
      <c r="K577" s="11">
        <v>2</v>
      </c>
      <c r="L577" s="57" t="s">
        <v>221</v>
      </c>
      <c r="M577" s="58" t="s">
        <v>220</v>
      </c>
      <c r="N577" s="58" t="s">
        <v>229</v>
      </c>
      <c r="O577" s="58" t="s">
        <v>261</v>
      </c>
      <c r="P577" s="3"/>
      <c r="Q577" s="126">
        <f>Q578+Q581+Q584</f>
        <v>134.3</v>
      </c>
      <c r="R577" s="126">
        <f>R578+R581+R584</f>
        <v>0</v>
      </c>
      <c r="S577" s="126">
        <f>S578+S581+S584</f>
        <v>0</v>
      </c>
    </row>
    <row r="578" spans="8:19" ht="31.5">
      <c r="H578" s="2" t="s">
        <v>50</v>
      </c>
      <c r="I578" s="347"/>
      <c r="J578" s="11">
        <v>7</v>
      </c>
      <c r="K578" s="11">
        <v>2</v>
      </c>
      <c r="L578" s="57" t="s">
        <v>221</v>
      </c>
      <c r="M578" s="58" t="s">
        <v>220</v>
      </c>
      <c r="N578" s="58" t="s">
        <v>237</v>
      </c>
      <c r="O578" s="58" t="s">
        <v>261</v>
      </c>
      <c r="P578" s="3"/>
      <c r="Q578" s="126">
        <f aca="true" t="shared" si="55" ref="Q578:S579">Q579</f>
        <v>3</v>
      </c>
      <c r="R578" s="126">
        <f t="shared" si="55"/>
        <v>0</v>
      </c>
      <c r="S578" s="126">
        <f t="shared" si="55"/>
        <v>0</v>
      </c>
    </row>
    <row r="579" spans="8:19" ht="18.75">
      <c r="H579" s="303" t="s">
        <v>56</v>
      </c>
      <c r="I579" s="347"/>
      <c r="J579" s="11">
        <v>7</v>
      </c>
      <c r="K579" s="11">
        <v>2</v>
      </c>
      <c r="L579" s="57" t="s">
        <v>221</v>
      </c>
      <c r="M579" s="58" t="s">
        <v>220</v>
      </c>
      <c r="N579" s="58" t="s">
        <v>237</v>
      </c>
      <c r="O579" s="58" t="s">
        <v>49</v>
      </c>
      <c r="P579" s="3"/>
      <c r="Q579" s="126">
        <f t="shared" si="55"/>
        <v>3</v>
      </c>
      <c r="R579" s="126">
        <f t="shared" si="55"/>
        <v>0</v>
      </c>
      <c r="S579" s="126">
        <f t="shared" si="55"/>
        <v>0</v>
      </c>
    </row>
    <row r="580" spans="8:19" ht="18.75">
      <c r="H580" s="25" t="s">
        <v>301</v>
      </c>
      <c r="I580" s="347"/>
      <c r="J580" s="11">
        <v>7</v>
      </c>
      <c r="K580" s="11">
        <v>2</v>
      </c>
      <c r="L580" s="57" t="s">
        <v>221</v>
      </c>
      <c r="M580" s="58" t="s">
        <v>220</v>
      </c>
      <c r="N580" s="58" t="s">
        <v>237</v>
      </c>
      <c r="O580" s="58" t="s">
        <v>49</v>
      </c>
      <c r="P580" s="3">
        <v>610</v>
      </c>
      <c r="Q580" s="126">
        <f>'приложение 5'!Q764</f>
        <v>3</v>
      </c>
      <c r="R580" s="126">
        <f>'приложение 5'!R764</f>
        <v>0</v>
      </c>
      <c r="S580" s="126">
        <f>'приложение 5'!S764</f>
        <v>0</v>
      </c>
    </row>
    <row r="581" spans="8:19" ht="31.5">
      <c r="H581" s="2" t="s">
        <v>289</v>
      </c>
      <c r="I581" s="347"/>
      <c r="J581" s="11">
        <v>7</v>
      </c>
      <c r="K581" s="11">
        <v>2</v>
      </c>
      <c r="L581" s="57" t="s">
        <v>221</v>
      </c>
      <c r="M581" s="58" t="s">
        <v>220</v>
      </c>
      <c r="N581" s="58" t="s">
        <v>232</v>
      </c>
      <c r="O581" s="58" t="s">
        <v>261</v>
      </c>
      <c r="P581" s="3"/>
      <c r="Q581" s="126">
        <f aca="true" t="shared" si="56" ref="Q581:S582">Q582</f>
        <v>41.7</v>
      </c>
      <c r="R581" s="126">
        <f t="shared" si="56"/>
        <v>0</v>
      </c>
      <c r="S581" s="126">
        <f t="shared" si="56"/>
        <v>0</v>
      </c>
    </row>
    <row r="582" spans="8:19" ht="18.75">
      <c r="H582" s="303" t="s">
        <v>56</v>
      </c>
      <c r="I582" s="347"/>
      <c r="J582" s="11">
        <v>7</v>
      </c>
      <c r="K582" s="11">
        <v>2</v>
      </c>
      <c r="L582" s="57" t="s">
        <v>221</v>
      </c>
      <c r="M582" s="58" t="s">
        <v>220</v>
      </c>
      <c r="N582" s="58" t="s">
        <v>232</v>
      </c>
      <c r="O582" s="58" t="s">
        <v>49</v>
      </c>
      <c r="P582" s="3"/>
      <c r="Q582" s="126">
        <f t="shared" si="56"/>
        <v>41.7</v>
      </c>
      <c r="R582" s="126">
        <f t="shared" si="56"/>
        <v>0</v>
      </c>
      <c r="S582" s="126">
        <f t="shared" si="56"/>
        <v>0</v>
      </c>
    </row>
    <row r="583" spans="8:19" ht="18.75">
      <c r="H583" s="25" t="s">
        <v>301</v>
      </c>
      <c r="I583" s="347"/>
      <c r="J583" s="11">
        <v>7</v>
      </c>
      <c r="K583" s="11">
        <v>2</v>
      </c>
      <c r="L583" s="57" t="s">
        <v>221</v>
      </c>
      <c r="M583" s="58" t="s">
        <v>220</v>
      </c>
      <c r="N583" s="58" t="s">
        <v>232</v>
      </c>
      <c r="O583" s="58" t="s">
        <v>49</v>
      </c>
      <c r="P583" s="3">
        <v>610</v>
      </c>
      <c r="Q583" s="126">
        <f>'приложение 5'!Q767</f>
        <v>41.7</v>
      </c>
      <c r="R583" s="126">
        <f>'приложение 5'!R767</f>
        <v>0</v>
      </c>
      <c r="S583" s="126">
        <f>'приложение 5'!S767</f>
        <v>0</v>
      </c>
    </row>
    <row r="584" spans="8:19" ht="31.5">
      <c r="H584" s="2" t="s">
        <v>2</v>
      </c>
      <c r="I584" s="347"/>
      <c r="J584" s="11">
        <v>7</v>
      </c>
      <c r="K584" s="11">
        <v>2</v>
      </c>
      <c r="L584" s="57" t="s">
        <v>221</v>
      </c>
      <c r="M584" s="58" t="s">
        <v>220</v>
      </c>
      <c r="N584" s="58" t="s">
        <v>223</v>
      </c>
      <c r="O584" s="58" t="s">
        <v>261</v>
      </c>
      <c r="P584" s="3"/>
      <c r="Q584" s="126">
        <f aca="true" t="shared" si="57" ref="Q584:S585">Q585</f>
        <v>89.6</v>
      </c>
      <c r="R584" s="126">
        <f t="shared" si="57"/>
        <v>0</v>
      </c>
      <c r="S584" s="126">
        <f t="shared" si="57"/>
        <v>0</v>
      </c>
    </row>
    <row r="585" spans="8:19" ht="18.75">
      <c r="H585" s="303" t="s">
        <v>56</v>
      </c>
      <c r="I585" s="347"/>
      <c r="J585" s="11">
        <v>7</v>
      </c>
      <c r="K585" s="11">
        <v>2</v>
      </c>
      <c r="L585" s="57" t="s">
        <v>221</v>
      </c>
      <c r="M585" s="58" t="s">
        <v>220</v>
      </c>
      <c r="N585" s="58" t="s">
        <v>223</v>
      </c>
      <c r="O585" s="58" t="s">
        <v>49</v>
      </c>
      <c r="P585" s="3"/>
      <c r="Q585" s="126">
        <f t="shared" si="57"/>
        <v>89.6</v>
      </c>
      <c r="R585" s="126">
        <f t="shared" si="57"/>
        <v>0</v>
      </c>
      <c r="S585" s="126">
        <f t="shared" si="57"/>
        <v>0</v>
      </c>
    </row>
    <row r="586" spans="8:19" ht="18.75">
      <c r="H586" s="25" t="s">
        <v>301</v>
      </c>
      <c r="I586" s="347"/>
      <c r="J586" s="11">
        <v>7</v>
      </c>
      <c r="K586" s="11">
        <v>2</v>
      </c>
      <c r="L586" s="57" t="s">
        <v>221</v>
      </c>
      <c r="M586" s="58" t="s">
        <v>220</v>
      </c>
      <c r="N586" s="58" t="s">
        <v>223</v>
      </c>
      <c r="O586" s="58" t="s">
        <v>49</v>
      </c>
      <c r="P586" s="3">
        <v>610</v>
      </c>
      <c r="Q586" s="126">
        <f>'приложение 5'!Q770</f>
        <v>89.6</v>
      </c>
      <c r="R586" s="126">
        <f>'приложение 5'!R770</f>
        <v>0</v>
      </c>
      <c r="S586" s="126">
        <f>'приложение 5'!S770</f>
        <v>0</v>
      </c>
    </row>
    <row r="587" spans="8:19" ht="31.5">
      <c r="H587" s="2" t="s">
        <v>581</v>
      </c>
      <c r="I587" s="301"/>
      <c r="J587" s="11">
        <v>7</v>
      </c>
      <c r="K587" s="11">
        <v>2</v>
      </c>
      <c r="L587" s="57" t="s">
        <v>232</v>
      </c>
      <c r="M587" s="58" t="s">
        <v>220</v>
      </c>
      <c r="N587" s="58" t="s">
        <v>229</v>
      </c>
      <c r="O587" s="58" t="s">
        <v>261</v>
      </c>
      <c r="P587" s="3"/>
      <c r="Q587" s="126">
        <f>Q591+Q626+Q612+Q606+Q588+Q609</f>
        <v>239645.8</v>
      </c>
      <c r="R587" s="126">
        <f>R591+R626+R612+R606+R588+R609</f>
        <v>227397.90000000002</v>
      </c>
      <c r="S587" s="126">
        <f>S591+S626+S612+S606+S588+S609</f>
        <v>234846.4</v>
      </c>
    </row>
    <row r="588" spans="8:19" ht="18.75">
      <c r="H588" s="2" t="s">
        <v>270</v>
      </c>
      <c r="I588" s="301"/>
      <c r="J588" s="11">
        <v>7</v>
      </c>
      <c r="K588" s="11">
        <v>2</v>
      </c>
      <c r="L588" s="57" t="s">
        <v>232</v>
      </c>
      <c r="M588" s="58" t="s">
        <v>220</v>
      </c>
      <c r="N588" s="58" t="s">
        <v>221</v>
      </c>
      <c r="O588" s="58" t="s">
        <v>261</v>
      </c>
      <c r="P588" s="3"/>
      <c r="Q588" s="126">
        <f aca="true" t="shared" si="58" ref="Q588:S589">Q589</f>
        <v>0</v>
      </c>
      <c r="R588" s="126">
        <f t="shared" si="58"/>
        <v>0</v>
      </c>
      <c r="S588" s="126">
        <f t="shared" si="58"/>
        <v>0</v>
      </c>
    </row>
    <row r="589" spans="8:19" ht="18.75">
      <c r="H589" s="2" t="s">
        <v>56</v>
      </c>
      <c r="I589" s="301"/>
      <c r="J589" s="11">
        <v>7</v>
      </c>
      <c r="K589" s="11">
        <v>2</v>
      </c>
      <c r="L589" s="57" t="s">
        <v>232</v>
      </c>
      <c r="M589" s="58" t="s">
        <v>220</v>
      </c>
      <c r="N589" s="58" t="s">
        <v>221</v>
      </c>
      <c r="O589" s="58" t="s">
        <v>49</v>
      </c>
      <c r="P589" s="3"/>
      <c r="Q589" s="126">
        <f t="shared" si="58"/>
        <v>0</v>
      </c>
      <c r="R589" s="126">
        <f t="shared" si="58"/>
        <v>0</v>
      </c>
      <c r="S589" s="126">
        <f t="shared" si="58"/>
        <v>0</v>
      </c>
    </row>
    <row r="590" spans="8:19" ht="18.75">
      <c r="H590" s="2" t="s">
        <v>301</v>
      </c>
      <c r="I590" s="301"/>
      <c r="J590" s="11">
        <v>7</v>
      </c>
      <c r="K590" s="11">
        <v>2</v>
      </c>
      <c r="L590" s="57" t="s">
        <v>232</v>
      </c>
      <c r="M590" s="58" t="s">
        <v>220</v>
      </c>
      <c r="N590" s="58" t="s">
        <v>221</v>
      </c>
      <c r="O590" s="58" t="s">
        <v>49</v>
      </c>
      <c r="P590" s="3">
        <v>610</v>
      </c>
      <c r="Q590" s="126">
        <f>'приложение 5'!Q774</f>
        <v>0</v>
      </c>
      <c r="R590" s="126">
        <f>'приложение 5'!R774</f>
        <v>0</v>
      </c>
      <c r="S590" s="126">
        <f>'приложение 5'!S774</f>
        <v>0</v>
      </c>
    </row>
    <row r="591" spans="8:19" ht="18.75">
      <c r="H591" s="2" t="s">
        <v>271</v>
      </c>
      <c r="I591" s="265"/>
      <c r="J591" s="4">
        <v>7</v>
      </c>
      <c r="K591" s="11">
        <v>2</v>
      </c>
      <c r="L591" s="57" t="s">
        <v>232</v>
      </c>
      <c r="M591" s="58" t="s">
        <v>220</v>
      </c>
      <c r="N591" s="58" t="s">
        <v>236</v>
      </c>
      <c r="O591" s="58" t="s">
        <v>261</v>
      </c>
      <c r="P591" s="3"/>
      <c r="Q591" s="126">
        <f>Q592+Q594+Q596+Q598+Q600+Q602+Q604</f>
        <v>220530.5</v>
      </c>
      <c r="R591" s="126">
        <f>R592+R594+R596+R598+R600+R602+R604</f>
        <v>225614.90000000002</v>
      </c>
      <c r="S591" s="126">
        <f>S592+S594+S596+S598+S600+S602+S604</f>
        <v>233902.9</v>
      </c>
    </row>
    <row r="592" spans="8:19" ht="18.75">
      <c r="H592" s="2" t="s">
        <v>56</v>
      </c>
      <c r="I592" s="265"/>
      <c r="J592" s="4">
        <v>7</v>
      </c>
      <c r="K592" s="11">
        <v>2</v>
      </c>
      <c r="L592" s="57" t="s">
        <v>232</v>
      </c>
      <c r="M592" s="58" t="s">
        <v>220</v>
      </c>
      <c r="N592" s="58" t="s">
        <v>236</v>
      </c>
      <c r="O592" s="58" t="s">
        <v>49</v>
      </c>
      <c r="P592" s="3"/>
      <c r="Q592" s="126">
        <f>Q593</f>
        <v>52580.1</v>
      </c>
      <c r="R592" s="126">
        <f>R593</f>
        <v>51688.7</v>
      </c>
      <c r="S592" s="126">
        <f>S593</f>
        <v>48482.3</v>
      </c>
    </row>
    <row r="593" spans="8:19" ht="18.75">
      <c r="H593" s="2" t="s">
        <v>301</v>
      </c>
      <c r="I593" s="267"/>
      <c r="J593" s="4">
        <v>7</v>
      </c>
      <c r="K593" s="11">
        <v>2</v>
      </c>
      <c r="L593" s="57" t="s">
        <v>232</v>
      </c>
      <c r="M593" s="58" t="s">
        <v>220</v>
      </c>
      <c r="N593" s="58" t="s">
        <v>236</v>
      </c>
      <c r="O593" s="58" t="s">
        <v>49</v>
      </c>
      <c r="P593" s="3">
        <v>610</v>
      </c>
      <c r="Q593" s="126">
        <f>'приложение 5'!Q777</f>
        <v>52580.1</v>
      </c>
      <c r="R593" s="126">
        <f>'приложение 5'!R777</f>
        <v>51688.7</v>
      </c>
      <c r="S593" s="126">
        <f>'приложение 5'!S777</f>
        <v>48482.3</v>
      </c>
    </row>
    <row r="594" spans="8:19" ht="78.75">
      <c r="H594" s="2" t="s">
        <v>453</v>
      </c>
      <c r="I594" s="265"/>
      <c r="J594" s="4">
        <v>7</v>
      </c>
      <c r="K594" s="11">
        <v>2</v>
      </c>
      <c r="L594" s="57" t="s">
        <v>232</v>
      </c>
      <c r="M594" s="58" t="s">
        <v>220</v>
      </c>
      <c r="N594" s="58" t="s">
        <v>236</v>
      </c>
      <c r="O594" s="58" t="s">
        <v>452</v>
      </c>
      <c r="P594" s="3"/>
      <c r="Q594" s="126">
        <f>Q595</f>
        <v>9253.3</v>
      </c>
      <c r="R594" s="126">
        <f>R595</f>
        <v>9382.8</v>
      </c>
      <c r="S594" s="126">
        <f>S595</f>
        <v>9429.7</v>
      </c>
    </row>
    <row r="595" spans="8:19" ht="18.75">
      <c r="H595" s="2" t="s">
        <v>301</v>
      </c>
      <c r="I595" s="267"/>
      <c r="J595" s="4">
        <v>7</v>
      </c>
      <c r="K595" s="11">
        <v>2</v>
      </c>
      <c r="L595" s="57" t="s">
        <v>232</v>
      </c>
      <c r="M595" s="58" t="s">
        <v>220</v>
      </c>
      <c r="N595" s="58" t="s">
        <v>236</v>
      </c>
      <c r="O595" s="58" t="s">
        <v>452</v>
      </c>
      <c r="P595" s="3">
        <v>610</v>
      </c>
      <c r="Q595" s="126">
        <f>'приложение 5'!Q779</f>
        <v>9253.3</v>
      </c>
      <c r="R595" s="126">
        <f>'приложение 5'!R779</f>
        <v>9382.8</v>
      </c>
      <c r="S595" s="126">
        <f>'приложение 5'!S779</f>
        <v>9429.7</v>
      </c>
    </row>
    <row r="596" spans="8:19" ht="31.5">
      <c r="H596" s="2" t="s">
        <v>374</v>
      </c>
      <c r="I596" s="267"/>
      <c r="J596" s="4">
        <v>7</v>
      </c>
      <c r="K596" s="11">
        <v>2</v>
      </c>
      <c r="L596" s="57" t="s">
        <v>232</v>
      </c>
      <c r="M596" s="58" t="s">
        <v>220</v>
      </c>
      <c r="N596" s="58" t="s">
        <v>236</v>
      </c>
      <c r="O596" s="58" t="s">
        <v>373</v>
      </c>
      <c r="P596" s="3"/>
      <c r="Q596" s="126">
        <f>Q597</f>
        <v>13596.4</v>
      </c>
      <c r="R596" s="126">
        <f>R597</f>
        <v>14133.3</v>
      </c>
      <c r="S596" s="126">
        <f>S597</f>
        <v>14865</v>
      </c>
    </row>
    <row r="597" spans="8:19" ht="18.75">
      <c r="H597" s="2" t="s">
        <v>301</v>
      </c>
      <c r="I597" s="267"/>
      <c r="J597" s="4">
        <v>7</v>
      </c>
      <c r="K597" s="11">
        <v>2</v>
      </c>
      <c r="L597" s="57" t="s">
        <v>232</v>
      </c>
      <c r="M597" s="58" t="s">
        <v>220</v>
      </c>
      <c r="N597" s="58" t="s">
        <v>236</v>
      </c>
      <c r="O597" s="58" t="s">
        <v>373</v>
      </c>
      <c r="P597" s="3">
        <v>610</v>
      </c>
      <c r="Q597" s="126">
        <f>'приложение 5'!Q781</f>
        <v>13596.4</v>
      </c>
      <c r="R597" s="126">
        <f>'приложение 5'!R781</f>
        <v>14133.3</v>
      </c>
      <c r="S597" s="126">
        <f>'приложение 5'!S781</f>
        <v>14865</v>
      </c>
    </row>
    <row r="598" spans="8:19" ht="31.5">
      <c r="H598" s="2" t="s">
        <v>55</v>
      </c>
      <c r="I598" s="265"/>
      <c r="J598" s="4">
        <v>7</v>
      </c>
      <c r="K598" s="11">
        <v>2</v>
      </c>
      <c r="L598" s="57" t="s">
        <v>232</v>
      </c>
      <c r="M598" s="58" t="s">
        <v>220</v>
      </c>
      <c r="N598" s="58" t="s">
        <v>236</v>
      </c>
      <c r="O598" s="58" t="s">
        <v>54</v>
      </c>
      <c r="P598" s="3"/>
      <c r="Q598" s="126">
        <f>Q599</f>
        <v>137252.1</v>
      </c>
      <c r="R598" s="126">
        <f>R599</f>
        <v>142738.6</v>
      </c>
      <c r="S598" s="126">
        <f>S599</f>
        <v>153672.5</v>
      </c>
    </row>
    <row r="599" spans="8:19" ht="18.75">
      <c r="H599" s="2" t="s">
        <v>301</v>
      </c>
      <c r="I599" s="267"/>
      <c r="J599" s="4">
        <v>7</v>
      </c>
      <c r="K599" s="11">
        <v>2</v>
      </c>
      <c r="L599" s="57" t="s">
        <v>232</v>
      </c>
      <c r="M599" s="58" t="s">
        <v>220</v>
      </c>
      <c r="N599" s="58" t="s">
        <v>236</v>
      </c>
      <c r="O599" s="58" t="s">
        <v>54</v>
      </c>
      <c r="P599" s="3">
        <v>610</v>
      </c>
      <c r="Q599" s="126">
        <f>'приложение 5'!Q783</f>
        <v>137252.1</v>
      </c>
      <c r="R599" s="126">
        <f>'приложение 5'!R783</f>
        <v>142738.6</v>
      </c>
      <c r="S599" s="126">
        <f>'приложение 5'!S783</f>
        <v>153672.5</v>
      </c>
    </row>
    <row r="600" spans="8:19" ht="31.5">
      <c r="H600" s="2" t="s">
        <v>454</v>
      </c>
      <c r="I600" s="267"/>
      <c r="J600" s="4">
        <v>7</v>
      </c>
      <c r="K600" s="11">
        <v>2</v>
      </c>
      <c r="L600" s="57" t="s">
        <v>232</v>
      </c>
      <c r="M600" s="58" t="s">
        <v>220</v>
      </c>
      <c r="N600" s="58" t="s">
        <v>236</v>
      </c>
      <c r="O600" s="58" t="s">
        <v>354</v>
      </c>
      <c r="P600" s="3"/>
      <c r="Q600" s="126">
        <f>Q601</f>
        <v>7848.6</v>
      </c>
      <c r="R600" s="126">
        <f>R601</f>
        <v>7671.5</v>
      </c>
      <c r="S600" s="126">
        <f>S601</f>
        <v>7453.4</v>
      </c>
    </row>
    <row r="601" spans="8:19" ht="18.75">
      <c r="H601" s="2" t="s">
        <v>301</v>
      </c>
      <c r="I601" s="267"/>
      <c r="J601" s="4">
        <v>7</v>
      </c>
      <c r="K601" s="11">
        <v>2</v>
      </c>
      <c r="L601" s="57" t="s">
        <v>232</v>
      </c>
      <c r="M601" s="58" t="s">
        <v>220</v>
      </c>
      <c r="N601" s="58" t="s">
        <v>236</v>
      </c>
      <c r="O601" s="58" t="s">
        <v>354</v>
      </c>
      <c r="P601" s="3">
        <v>610</v>
      </c>
      <c r="Q601" s="126">
        <f>'приложение 5'!Q785</f>
        <v>7848.6</v>
      </c>
      <c r="R601" s="126">
        <f>'приложение 5'!R785</f>
        <v>7671.5</v>
      </c>
      <c r="S601" s="126">
        <f>'приложение 5'!S785</f>
        <v>7453.4</v>
      </c>
    </row>
    <row r="602" spans="8:19" ht="18.75" hidden="1">
      <c r="H602" s="2" t="s">
        <v>1064</v>
      </c>
      <c r="I602" s="267"/>
      <c r="J602" s="4">
        <v>7</v>
      </c>
      <c r="K602" s="11">
        <v>2</v>
      </c>
      <c r="L602" s="57" t="s">
        <v>232</v>
      </c>
      <c r="M602" s="58" t="s">
        <v>220</v>
      </c>
      <c r="N602" s="58" t="s">
        <v>236</v>
      </c>
      <c r="O602" s="58" t="s">
        <v>1065</v>
      </c>
      <c r="P602" s="3"/>
      <c r="Q602" s="126">
        <f>Q603</f>
        <v>0</v>
      </c>
      <c r="R602" s="126">
        <f>R603</f>
        <v>0</v>
      </c>
      <c r="S602" s="126">
        <f>S603</f>
        <v>0</v>
      </c>
    </row>
    <row r="603" spans="8:19" ht="18.75" hidden="1">
      <c r="H603" s="2" t="s">
        <v>301</v>
      </c>
      <c r="I603" s="267"/>
      <c r="J603" s="4">
        <v>7</v>
      </c>
      <c r="K603" s="11">
        <v>2</v>
      </c>
      <c r="L603" s="57" t="s">
        <v>232</v>
      </c>
      <c r="M603" s="58" t="s">
        <v>220</v>
      </c>
      <c r="N603" s="58" t="s">
        <v>236</v>
      </c>
      <c r="O603" s="58" t="s">
        <v>1065</v>
      </c>
      <c r="P603" s="3">
        <v>610</v>
      </c>
      <c r="Q603" s="126">
        <f>'приложение 5'!Q787</f>
        <v>0</v>
      </c>
      <c r="R603" s="126">
        <f>'приложение 5'!R787</f>
        <v>0</v>
      </c>
      <c r="S603" s="126">
        <f>'приложение 5'!S787</f>
        <v>0</v>
      </c>
    </row>
    <row r="604" spans="8:19" ht="18.75" hidden="1">
      <c r="H604" s="2" t="s">
        <v>1069</v>
      </c>
      <c r="I604" s="267"/>
      <c r="J604" s="4">
        <v>7</v>
      </c>
      <c r="K604" s="11">
        <v>2</v>
      </c>
      <c r="L604" s="57" t="s">
        <v>232</v>
      </c>
      <c r="M604" s="58" t="s">
        <v>220</v>
      </c>
      <c r="N604" s="58" t="s">
        <v>236</v>
      </c>
      <c r="O604" s="58" t="s">
        <v>1070</v>
      </c>
      <c r="P604" s="3"/>
      <c r="Q604" s="126">
        <f>Q605</f>
        <v>0</v>
      </c>
      <c r="R604" s="126">
        <f>R605</f>
        <v>0</v>
      </c>
      <c r="S604" s="126">
        <f>S605</f>
        <v>0</v>
      </c>
    </row>
    <row r="605" spans="8:19" ht="18.75" hidden="1">
      <c r="H605" s="2" t="s">
        <v>301</v>
      </c>
      <c r="I605" s="267"/>
      <c r="J605" s="4">
        <v>7</v>
      </c>
      <c r="K605" s="11">
        <v>2</v>
      </c>
      <c r="L605" s="57" t="s">
        <v>232</v>
      </c>
      <c r="M605" s="58" t="s">
        <v>220</v>
      </c>
      <c r="N605" s="58" t="s">
        <v>236</v>
      </c>
      <c r="O605" s="58" t="s">
        <v>1070</v>
      </c>
      <c r="P605" s="3">
        <v>610</v>
      </c>
      <c r="Q605" s="126">
        <f>'приложение 5'!Q789</f>
        <v>0</v>
      </c>
      <c r="R605" s="126">
        <f>'приложение 5'!R789</f>
        <v>0</v>
      </c>
      <c r="S605" s="126">
        <f>'приложение 5'!S789</f>
        <v>0</v>
      </c>
    </row>
    <row r="606" spans="8:19" ht="18.75">
      <c r="H606" s="2" t="s">
        <v>582</v>
      </c>
      <c r="I606" s="267"/>
      <c r="J606" s="4">
        <v>7</v>
      </c>
      <c r="K606" s="11">
        <v>2</v>
      </c>
      <c r="L606" s="57" t="s">
        <v>232</v>
      </c>
      <c r="M606" s="58" t="s">
        <v>220</v>
      </c>
      <c r="N606" s="58" t="s">
        <v>237</v>
      </c>
      <c r="O606" s="58" t="s">
        <v>261</v>
      </c>
      <c r="P606" s="3"/>
      <c r="Q606" s="126">
        <f aca="true" t="shared" si="59" ref="Q606:S607">Q607</f>
        <v>43.400000000000006</v>
      </c>
      <c r="R606" s="126">
        <f t="shared" si="59"/>
        <v>0</v>
      </c>
      <c r="S606" s="126">
        <f t="shared" si="59"/>
        <v>0</v>
      </c>
    </row>
    <row r="607" spans="8:19" ht="18.75">
      <c r="H607" s="2" t="s">
        <v>56</v>
      </c>
      <c r="I607" s="267"/>
      <c r="J607" s="4">
        <v>7</v>
      </c>
      <c r="K607" s="11">
        <v>2</v>
      </c>
      <c r="L607" s="57" t="s">
        <v>232</v>
      </c>
      <c r="M607" s="58" t="s">
        <v>220</v>
      </c>
      <c r="N607" s="58" t="s">
        <v>237</v>
      </c>
      <c r="O607" s="58" t="s">
        <v>49</v>
      </c>
      <c r="P607" s="3"/>
      <c r="Q607" s="126">
        <f t="shared" si="59"/>
        <v>43.400000000000006</v>
      </c>
      <c r="R607" s="126">
        <f t="shared" si="59"/>
        <v>0</v>
      </c>
      <c r="S607" s="126">
        <f t="shared" si="59"/>
        <v>0</v>
      </c>
    </row>
    <row r="608" spans="8:19" ht="18.75">
      <c r="H608" s="2" t="s">
        <v>301</v>
      </c>
      <c r="I608" s="267"/>
      <c r="J608" s="4">
        <v>7</v>
      </c>
      <c r="K608" s="11">
        <v>2</v>
      </c>
      <c r="L608" s="57" t="s">
        <v>232</v>
      </c>
      <c r="M608" s="58" t="s">
        <v>220</v>
      </c>
      <c r="N608" s="58" t="s">
        <v>237</v>
      </c>
      <c r="O608" s="58" t="s">
        <v>49</v>
      </c>
      <c r="P608" s="3">
        <v>610</v>
      </c>
      <c r="Q608" s="126">
        <f>'приложение 5'!Q792</f>
        <v>43.400000000000006</v>
      </c>
      <c r="R608" s="126">
        <f>'приложение 5'!R792</f>
        <v>0</v>
      </c>
      <c r="S608" s="126">
        <f>'приложение 5'!S792</f>
        <v>0</v>
      </c>
    </row>
    <row r="609" spans="8:19" ht="18.75">
      <c r="H609" s="2" t="s">
        <v>584</v>
      </c>
      <c r="I609" s="267"/>
      <c r="J609" s="4">
        <v>7</v>
      </c>
      <c r="K609" s="11">
        <v>2</v>
      </c>
      <c r="L609" s="57" t="s">
        <v>232</v>
      </c>
      <c r="M609" s="58" t="s">
        <v>220</v>
      </c>
      <c r="N609" s="58" t="s">
        <v>232</v>
      </c>
      <c r="O609" s="58" t="s">
        <v>261</v>
      </c>
      <c r="P609" s="3"/>
      <c r="Q609" s="126">
        <f aca="true" t="shared" si="60" ref="Q609:S610">Q610</f>
        <v>7.6</v>
      </c>
      <c r="R609" s="126">
        <f t="shared" si="60"/>
        <v>0</v>
      </c>
      <c r="S609" s="126">
        <f t="shared" si="60"/>
        <v>0</v>
      </c>
    </row>
    <row r="610" spans="8:19" ht="18.75">
      <c r="H610" s="2" t="s">
        <v>56</v>
      </c>
      <c r="I610" s="267"/>
      <c r="J610" s="4">
        <v>7</v>
      </c>
      <c r="K610" s="11">
        <v>2</v>
      </c>
      <c r="L610" s="57" t="s">
        <v>232</v>
      </c>
      <c r="M610" s="58" t="s">
        <v>220</v>
      </c>
      <c r="N610" s="58" t="s">
        <v>232</v>
      </c>
      <c r="O610" s="58" t="s">
        <v>49</v>
      </c>
      <c r="P610" s="3"/>
      <c r="Q610" s="126">
        <f t="shared" si="60"/>
        <v>7.6</v>
      </c>
      <c r="R610" s="126">
        <f t="shared" si="60"/>
        <v>0</v>
      </c>
      <c r="S610" s="126">
        <f t="shared" si="60"/>
        <v>0</v>
      </c>
    </row>
    <row r="611" spans="8:19" ht="18.75">
      <c r="H611" s="2" t="s">
        <v>301</v>
      </c>
      <c r="I611" s="267"/>
      <c r="J611" s="4">
        <v>7</v>
      </c>
      <c r="K611" s="11">
        <v>2</v>
      </c>
      <c r="L611" s="57" t="s">
        <v>232</v>
      </c>
      <c r="M611" s="58" t="s">
        <v>220</v>
      </c>
      <c r="N611" s="58" t="s">
        <v>232</v>
      </c>
      <c r="O611" s="58" t="s">
        <v>49</v>
      </c>
      <c r="P611" s="3">
        <v>610</v>
      </c>
      <c r="Q611" s="126">
        <f>'приложение 5'!Q795</f>
        <v>7.6</v>
      </c>
      <c r="R611" s="126">
        <f>'приложение 5'!R795</f>
        <v>0</v>
      </c>
      <c r="S611" s="126">
        <f>'приложение 5'!S795</f>
        <v>0</v>
      </c>
    </row>
    <row r="612" spans="8:19" ht="18.75">
      <c r="H612" s="2" t="str">
        <f>'приложение 5'!H796</f>
        <v>Основное мероприятие "Модернизация сети муниципальных образовательных учреждений"</v>
      </c>
      <c r="I612" s="267">
        <f>'приложение 5'!I796</f>
        <v>672</v>
      </c>
      <c r="J612" s="4">
        <f>'приложение 5'!J796</f>
        <v>7</v>
      </c>
      <c r="K612" s="11">
        <f>'приложение 5'!K796</f>
        <v>2</v>
      </c>
      <c r="L612" s="57" t="str">
        <f>'приложение 5'!L796</f>
        <v>04</v>
      </c>
      <c r="M612" s="58" t="str">
        <f>'приложение 5'!M796</f>
        <v>0</v>
      </c>
      <c r="N612" s="58" t="str">
        <f>'приложение 5'!N796</f>
        <v>05</v>
      </c>
      <c r="O612" s="58" t="str">
        <f>'приложение 5'!O796</f>
        <v>00000</v>
      </c>
      <c r="P612" s="3" t="s">
        <v>262</v>
      </c>
      <c r="Q612" s="126">
        <f>Q613+Q619+Q621+Q623+Q617+Q615</f>
        <v>18281.5</v>
      </c>
      <c r="R612" s="126">
        <f>R613+R619+R621+R623+R617+R615</f>
        <v>1000.2</v>
      </c>
      <c r="S612" s="126">
        <f>S613+S619+S621+S623+S617+S615</f>
        <v>0</v>
      </c>
    </row>
    <row r="613" spans="8:19" ht="47.25">
      <c r="H613" s="2" t="s">
        <v>983</v>
      </c>
      <c r="I613" s="267"/>
      <c r="J613" s="4">
        <v>7</v>
      </c>
      <c r="K613" s="11">
        <v>2</v>
      </c>
      <c r="L613" s="57" t="s">
        <v>232</v>
      </c>
      <c r="M613" s="58" t="s">
        <v>220</v>
      </c>
      <c r="N613" s="58" t="s">
        <v>223</v>
      </c>
      <c r="O613" s="58" t="s">
        <v>982</v>
      </c>
      <c r="P613" s="3"/>
      <c r="Q613" s="126">
        <f>Q614</f>
        <v>300</v>
      </c>
      <c r="R613" s="126">
        <f>R614</f>
        <v>0</v>
      </c>
      <c r="S613" s="126">
        <f>S614</f>
        <v>0</v>
      </c>
    </row>
    <row r="614" spans="8:19" ht="18.75">
      <c r="H614" s="2" t="s">
        <v>301</v>
      </c>
      <c r="I614" s="267"/>
      <c r="J614" s="4">
        <v>7</v>
      </c>
      <c r="K614" s="11">
        <v>2</v>
      </c>
      <c r="L614" s="57" t="s">
        <v>232</v>
      </c>
      <c r="M614" s="58" t="s">
        <v>220</v>
      </c>
      <c r="N614" s="58" t="s">
        <v>223</v>
      </c>
      <c r="O614" s="58" t="s">
        <v>982</v>
      </c>
      <c r="P614" s="3">
        <v>610</v>
      </c>
      <c r="Q614" s="126">
        <f>'приложение 5'!Q800</f>
        <v>300</v>
      </c>
      <c r="R614" s="126">
        <f>'приложение 5'!R800</f>
        <v>0</v>
      </c>
      <c r="S614" s="126">
        <f>'приложение 5'!S800</f>
        <v>0</v>
      </c>
    </row>
    <row r="615" spans="8:19" ht="18.75">
      <c r="H615" s="2" t="s">
        <v>1064</v>
      </c>
      <c r="I615" s="267"/>
      <c r="J615" s="4">
        <v>7</v>
      </c>
      <c r="K615" s="11">
        <v>2</v>
      </c>
      <c r="L615" s="57" t="s">
        <v>232</v>
      </c>
      <c r="M615" s="58" t="s">
        <v>220</v>
      </c>
      <c r="N615" s="58" t="s">
        <v>223</v>
      </c>
      <c r="O615" s="58" t="s">
        <v>1065</v>
      </c>
      <c r="P615" s="3"/>
      <c r="Q615" s="126">
        <f>Q616</f>
        <v>1000.2</v>
      </c>
      <c r="R615" s="126">
        <f>R616</f>
        <v>1000.2</v>
      </c>
      <c r="S615" s="126">
        <f>S616</f>
        <v>0</v>
      </c>
    </row>
    <row r="616" spans="8:19" ht="18.75">
      <c r="H616" s="2" t="s">
        <v>301</v>
      </c>
      <c r="I616" s="267"/>
      <c r="J616" s="4">
        <v>7</v>
      </c>
      <c r="K616" s="11">
        <v>2</v>
      </c>
      <c r="L616" s="57" t="s">
        <v>232</v>
      </c>
      <c r="M616" s="58" t="s">
        <v>220</v>
      </c>
      <c r="N616" s="58" t="s">
        <v>223</v>
      </c>
      <c r="O616" s="58" t="s">
        <v>1065</v>
      </c>
      <c r="P616" s="3">
        <v>610</v>
      </c>
      <c r="Q616" s="126">
        <f>'приложение 5'!Q809</f>
        <v>1000.2</v>
      </c>
      <c r="R616" s="126">
        <f>'приложение 5'!R809</f>
        <v>1000.2</v>
      </c>
      <c r="S616" s="126">
        <f>'приложение 5'!S809</f>
        <v>0</v>
      </c>
    </row>
    <row r="617" spans="8:19" ht="18.75">
      <c r="H617" s="2" t="str">
        <f>'приложение 5'!H797</f>
        <v>Школы - детские сады, школы начальные, неполные средние и средние</v>
      </c>
      <c r="I617" s="267">
        <f>'приложение 5'!I797</f>
        <v>672</v>
      </c>
      <c r="J617" s="4">
        <f>'приложение 5'!J797</f>
        <v>7</v>
      </c>
      <c r="K617" s="11">
        <f>'приложение 5'!K797</f>
        <v>2</v>
      </c>
      <c r="L617" s="57" t="str">
        <f>'приложение 5'!L797</f>
        <v>04</v>
      </c>
      <c r="M617" s="58" t="str">
        <f>'приложение 5'!M797</f>
        <v>0</v>
      </c>
      <c r="N617" s="58" t="str">
        <f>'приложение 5'!N797</f>
        <v>05</v>
      </c>
      <c r="O617" s="58" t="str">
        <f>'приложение 5'!O797</f>
        <v>13590</v>
      </c>
      <c r="P617" s="3" t="s">
        <v>262</v>
      </c>
      <c r="Q617" s="126">
        <f>'приложение 5'!Q797</f>
        <v>9280.4</v>
      </c>
      <c r="R617" s="126">
        <f>'приложение 5'!R797</f>
        <v>0</v>
      </c>
      <c r="S617" s="126">
        <f>'приложение 5'!S797</f>
        <v>0</v>
      </c>
    </row>
    <row r="618" spans="8:19" ht="18.75">
      <c r="H618" s="2" t="str">
        <f>'приложение 5'!H798</f>
        <v>Субсидии бюджетным учреждениям</v>
      </c>
      <c r="I618" s="267">
        <f>'приложение 5'!I798</f>
        <v>672</v>
      </c>
      <c r="J618" s="4">
        <f>'приложение 5'!J798</f>
        <v>7</v>
      </c>
      <c r="K618" s="11">
        <f>'приложение 5'!K798</f>
        <v>2</v>
      </c>
      <c r="L618" s="57" t="str">
        <f>'приложение 5'!L798</f>
        <v>04</v>
      </c>
      <c r="M618" s="58" t="str">
        <f>'приложение 5'!M798</f>
        <v>0</v>
      </c>
      <c r="N618" s="58" t="str">
        <f>'приложение 5'!N798</f>
        <v>05</v>
      </c>
      <c r="O618" s="58" t="str">
        <f>'приложение 5'!O798</f>
        <v>13590</v>
      </c>
      <c r="P618" s="3">
        <f>'приложение 5'!P798</f>
        <v>610</v>
      </c>
      <c r="Q618" s="126">
        <f>'приложение 5'!Q798</f>
        <v>9280.4</v>
      </c>
      <c r="R618" s="126">
        <f>'приложение 5'!R798</f>
        <v>0</v>
      </c>
      <c r="S618" s="126">
        <f>'приложение 5'!S798</f>
        <v>0</v>
      </c>
    </row>
    <row r="619" spans="8:19" ht="18.75" hidden="1">
      <c r="H619" s="2" t="s">
        <v>1022</v>
      </c>
      <c r="I619" s="267"/>
      <c r="J619" s="4">
        <v>7</v>
      </c>
      <c r="K619" s="11">
        <v>2</v>
      </c>
      <c r="L619" s="57" t="s">
        <v>232</v>
      </c>
      <c r="M619" s="58" t="s">
        <v>220</v>
      </c>
      <c r="N619" s="58" t="s">
        <v>223</v>
      </c>
      <c r="O619" s="58" t="s">
        <v>1020</v>
      </c>
      <c r="P619" s="3"/>
      <c r="Q619" s="126">
        <f>Q620</f>
        <v>0</v>
      </c>
      <c r="R619" s="126">
        <f>R620</f>
        <v>0</v>
      </c>
      <c r="S619" s="126">
        <f>S620</f>
        <v>0</v>
      </c>
    </row>
    <row r="620" spans="8:19" ht="18.75" hidden="1">
      <c r="H620" s="2" t="s">
        <v>301</v>
      </c>
      <c r="I620" s="267"/>
      <c r="J620" s="4">
        <v>7</v>
      </c>
      <c r="K620" s="11">
        <v>2</v>
      </c>
      <c r="L620" s="57" t="s">
        <v>232</v>
      </c>
      <c r="M620" s="58" t="s">
        <v>220</v>
      </c>
      <c r="N620" s="58" t="s">
        <v>223</v>
      </c>
      <c r="O620" s="58" t="s">
        <v>1020</v>
      </c>
      <c r="P620" s="3">
        <v>610</v>
      </c>
      <c r="Q620" s="126">
        <f>'приложение 5'!Q804</f>
        <v>0</v>
      </c>
      <c r="R620" s="126">
        <f>'приложение 5'!R804</f>
        <v>0</v>
      </c>
      <c r="S620" s="126">
        <f>'приложение 5'!S804</f>
        <v>0</v>
      </c>
    </row>
    <row r="621" spans="8:19" ht="47.25" hidden="1">
      <c r="H621" s="2" t="s">
        <v>1023</v>
      </c>
      <c r="I621" s="267"/>
      <c r="J621" s="4">
        <v>7</v>
      </c>
      <c r="K621" s="11">
        <v>2</v>
      </c>
      <c r="L621" s="57" t="s">
        <v>232</v>
      </c>
      <c r="M621" s="58" t="s">
        <v>220</v>
      </c>
      <c r="N621" s="58" t="s">
        <v>223</v>
      </c>
      <c r="O621" s="58" t="s">
        <v>1021</v>
      </c>
      <c r="P621" s="3"/>
      <c r="Q621" s="126">
        <f>Q622</f>
        <v>0</v>
      </c>
      <c r="R621" s="126">
        <f>R622</f>
        <v>0</v>
      </c>
      <c r="S621" s="126">
        <f>S622</f>
        <v>0</v>
      </c>
    </row>
    <row r="622" spans="8:19" ht="18.75" hidden="1">
      <c r="H622" s="2" t="s">
        <v>301</v>
      </c>
      <c r="I622" s="267"/>
      <c r="J622" s="4">
        <v>7</v>
      </c>
      <c r="K622" s="11">
        <v>2</v>
      </c>
      <c r="L622" s="57" t="s">
        <v>232</v>
      </c>
      <c r="M622" s="58" t="s">
        <v>220</v>
      </c>
      <c r="N622" s="58" t="s">
        <v>223</v>
      </c>
      <c r="O622" s="58" t="s">
        <v>1021</v>
      </c>
      <c r="P622" s="3">
        <v>610</v>
      </c>
      <c r="Q622" s="126">
        <f>'приложение 5'!Q806</f>
        <v>0</v>
      </c>
      <c r="R622" s="126">
        <f>'приложение 5'!R806</f>
        <v>0</v>
      </c>
      <c r="S622" s="126">
        <f>'приложение 5'!S806</f>
        <v>0</v>
      </c>
    </row>
    <row r="623" spans="8:19" ht="31.5">
      <c r="H623" s="2" t="s">
        <v>986</v>
      </c>
      <c r="I623" s="267"/>
      <c r="J623" s="11">
        <v>7</v>
      </c>
      <c r="K623" s="11">
        <v>2</v>
      </c>
      <c r="L623" s="57" t="s">
        <v>232</v>
      </c>
      <c r="M623" s="58" t="s">
        <v>220</v>
      </c>
      <c r="N623" s="58" t="s">
        <v>223</v>
      </c>
      <c r="O623" s="58" t="s">
        <v>985</v>
      </c>
      <c r="P623" s="3"/>
      <c r="Q623" s="126">
        <f>Q624+Q625</f>
        <v>7700.9</v>
      </c>
      <c r="R623" s="126">
        <f>R624+R625</f>
        <v>0</v>
      </c>
      <c r="S623" s="126">
        <f>S624+S625</f>
        <v>0</v>
      </c>
    </row>
    <row r="624" spans="8:19" ht="18.75">
      <c r="H624" s="2" t="s">
        <v>299</v>
      </c>
      <c r="I624" s="267"/>
      <c r="J624" s="11">
        <v>7</v>
      </c>
      <c r="K624" s="11">
        <v>2</v>
      </c>
      <c r="L624" s="57" t="s">
        <v>232</v>
      </c>
      <c r="M624" s="58" t="s">
        <v>220</v>
      </c>
      <c r="N624" s="58" t="s">
        <v>223</v>
      </c>
      <c r="O624" s="58" t="s">
        <v>985</v>
      </c>
      <c r="P624" s="3">
        <v>240</v>
      </c>
      <c r="Q624" s="126">
        <f>'приложение 5'!Q802</f>
        <v>6145</v>
      </c>
      <c r="R624" s="126">
        <f>'приложение 5'!R802</f>
        <v>0</v>
      </c>
      <c r="S624" s="126">
        <f>'приложение 5'!S802</f>
        <v>0</v>
      </c>
    </row>
    <row r="625" spans="8:19" ht="18.75">
      <c r="H625" s="2" t="s">
        <v>301</v>
      </c>
      <c r="I625" s="267"/>
      <c r="J625" s="11">
        <v>7</v>
      </c>
      <c r="K625" s="11">
        <v>2</v>
      </c>
      <c r="L625" s="57" t="s">
        <v>232</v>
      </c>
      <c r="M625" s="58" t="s">
        <v>220</v>
      </c>
      <c r="N625" s="58" t="s">
        <v>223</v>
      </c>
      <c r="O625" s="58" t="s">
        <v>985</v>
      </c>
      <c r="P625" s="3">
        <v>610</v>
      </c>
      <c r="Q625" s="126">
        <f>'приложение 5'!Q807</f>
        <v>1555.9</v>
      </c>
      <c r="R625" s="126">
        <f>'приложение 5'!R807</f>
        <v>0</v>
      </c>
      <c r="S625" s="126">
        <f>'приложение 5'!S807</f>
        <v>0</v>
      </c>
    </row>
    <row r="626" spans="8:19" ht="31.5">
      <c r="H626" s="2" t="s">
        <v>833</v>
      </c>
      <c r="I626" s="267">
        <f>'приложение 5'!I810</f>
        <v>672</v>
      </c>
      <c r="J626" s="4">
        <f>'приложение 5'!J810</f>
        <v>7</v>
      </c>
      <c r="K626" s="11">
        <f>'приложение 5'!K810</f>
        <v>2</v>
      </c>
      <c r="L626" s="57" t="str">
        <f>'приложение 5'!L810</f>
        <v>04</v>
      </c>
      <c r="M626" s="58" t="str">
        <f>'приложение 5'!M810</f>
        <v>0</v>
      </c>
      <c r="N626" s="58" t="str">
        <f>'приложение 5'!N810</f>
        <v>EВ</v>
      </c>
      <c r="O626" s="58" t="str">
        <f>'приложение 5'!O810</f>
        <v>00000</v>
      </c>
      <c r="P626" s="3" t="s">
        <v>262</v>
      </c>
      <c r="Q626" s="126">
        <f>'приложение 5'!Q810</f>
        <v>782.8</v>
      </c>
      <c r="R626" s="126">
        <f>'приложение 5'!R810</f>
        <v>782.8</v>
      </c>
      <c r="S626" s="126">
        <f>'приложение 5'!S810</f>
        <v>943.5</v>
      </c>
    </row>
    <row r="627" spans="8:19" ht="31.5">
      <c r="H627" s="2" t="str">
        <f>'приложение 5'!H811</f>
        <v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I627" s="267">
        <f>'приложение 5'!I811</f>
        <v>672</v>
      </c>
      <c r="J627" s="4">
        <f>'приложение 5'!J811</f>
        <v>7</v>
      </c>
      <c r="K627" s="11">
        <f>'приложение 5'!K811</f>
        <v>2</v>
      </c>
      <c r="L627" s="57" t="str">
        <f>'приложение 5'!L811</f>
        <v>04</v>
      </c>
      <c r="M627" s="58" t="str">
        <f>'приложение 5'!M811</f>
        <v>0</v>
      </c>
      <c r="N627" s="58" t="str">
        <f>'приложение 5'!N811</f>
        <v>EВ</v>
      </c>
      <c r="O627" s="58" t="str">
        <f>'приложение 5'!O811</f>
        <v>51790</v>
      </c>
      <c r="P627" s="3" t="s">
        <v>262</v>
      </c>
      <c r="Q627" s="126">
        <f>'приложение 5'!Q811</f>
        <v>782.8</v>
      </c>
      <c r="R627" s="126">
        <f>'приложение 5'!R811</f>
        <v>782.8</v>
      </c>
      <c r="S627" s="126">
        <f>'приложение 5'!S811</f>
        <v>943.5</v>
      </c>
    </row>
    <row r="628" spans="8:19" ht="18.75">
      <c r="H628" s="2" t="str">
        <f>'приложение 5'!H812</f>
        <v>Субсидии бюджетным учреждениям</v>
      </c>
      <c r="I628" s="267">
        <f>'приложение 5'!I812</f>
        <v>672</v>
      </c>
      <c r="J628" s="4">
        <f>'приложение 5'!J812</f>
        <v>7</v>
      </c>
      <c r="K628" s="11">
        <f>'приложение 5'!K812</f>
        <v>2</v>
      </c>
      <c r="L628" s="57" t="str">
        <f>'приложение 5'!L812</f>
        <v>04</v>
      </c>
      <c r="M628" s="58" t="str">
        <f>'приложение 5'!M812</f>
        <v>0</v>
      </c>
      <c r="N628" s="58" t="str">
        <f>'приложение 5'!N812</f>
        <v>EВ</v>
      </c>
      <c r="O628" s="58" t="str">
        <f>'приложение 5'!O812</f>
        <v>51790</v>
      </c>
      <c r="P628" s="3">
        <f>'приложение 5'!P812</f>
        <v>610</v>
      </c>
      <c r="Q628" s="126">
        <f>'приложение 5'!Q812</f>
        <v>782.8</v>
      </c>
      <c r="R628" s="126">
        <f>'приложение 5'!R812</f>
        <v>782.8</v>
      </c>
      <c r="S628" s="126">
        <f>'приложение 5'!S812</f>
        <v>943.5</v>
      </c>
    </row>
    <row r="629" spans="8:19" ht="31.5" hidden="1">
      <c r="H629" s="2" t="s">
        <v>585</v>
      </c>
      <c r="I629" s="267"/>
      <c r="J629" s="4">
        <v>7</v>
      </c>
      <c r="K629" s="11">
        <v>2</v>
      </c>
      <c r="L629" s="57" t="s">
        <v>240</v>
      </c>
      <c r="M629" s="58" t="s">
        <v>220</v>
      </c>
      <c r="N629" s="58" t="s">
        <v>229</v>
      </c>
      <c r="O629" s="58" t="s">
        <v>261</v>
      </c>
      <c r="P629" s="3"/>
      <c r="Q629" s="126">
        <f aca="true" t="shared" si="61" ref="Q629:S631">Q630</f>
        <v>0</v>
      </c>
      <c r="R629" s="126">
        <f t="shared" si="61"/>
        <v>0</v>
      </c>
      <c r="S629" s="126">
        <f t="shared" si="61"/>
        <v>0</v>
      </c>
    </row>
    <row r="630" spans="8:19" ht="31.5" hidden="1">
      <c r="H630" s="2" t="s">
        <v>386</v>
      </c>
      <c r="I630" s="267"/>
      <c r="J630" s="4">
        <v>7</v>
      </c>
      <c r="K630" s="11">
        <v>2</v>
      </c>
      <c r="L630" s="57" t="s">
        <v>240</v>
      </c>
      <c r="M630" s="58" t="s">
        <v>220</v>
      </c>
      <c r="N630" s="58" t="s">
        <v>236</v>
      </c>
      <c r="O630" s="58" t="s">
        <v>261</v>
      </c>
      <c r="P630" s="3"/>
      <c r="Q630" s="126">
        <f t="shared" si="61"/>
        <v>0</v>
      </c>
      <c r="R630" s="126">
        <f t="shared" si="61"/>
        <v>0</v>
      </c>
      <c r="S630" s="126">
        <f t="shared" si="61"/>
        <v>0</v>
      </c>
    </row>
    <row r="631" spans="8:19" ht="18.75" hidden="1">
      <c r="H631" s="2" t="s">
        <v>387</v>
      </c>
      <c r="I631" s="267"/>
      <c r="J631" s="4">
        <v>7</v>
      </c>
      <c r="K631" s="11">
        <v>2</v>
      </c>
      <c r="L631" s="57" t="s">
        <v>240</v>
      </c>
      <c r="M631" s="58" t="s">
        <v>220</v>
      </c>
      <c r="N631" s="58" t="s">
        <v>236</v>
      </c>
      <c r="O631" s="58" t="s">
        <v>4</v>
      </c>
      <c r="P631" s="3"/>
      <c r="Q631" s="126">
        <f t="shared" si="61"/>
        <v>0</v>
      </c>
      <c r="R631" s="126">
        <f t="shared" si="61"/>
        <v>0</v>
      </c>
      <c r="S631" s="126">
        <f t="shared" si="61"/>
        <v>0</v>
      </c>
    </row>
    <row r="632" spans="8:19" ht="18.75" hidden="1">
      <c r="H632" s="2" t="s">
        <v>301</v>
      </c>
      <c r="I632" s="267"/>
      <c r="J632" s="4">
        <v>7</v>
      </c>
      <c r="K632" s="11">
        <v>2</v>
      </c>
      <c r="L632" s="57" t="s">
        <v>240</v>
      </c>
      <c r="M632" s="58" t="s">
        <v>220</v>
      </c>
      <c r="N632" s="58" t="s">
        <v>236</v>
      </c>
      <c r="O632" s="58" t="s">
        <v>4</v>
      </c>
      <c r="P632" s="3">
        <v>610</v>
      </c>
      <c r="Q632" s="126">
        <f>'приложение 5'!Q816</f>
        <v>0</v>
      </c>
      <c r="R632" s="126">
        <f>'приложение 5'!R816</f>
        <v>0</v>
      </c>
      <c r="S632" s="126">
        <f>'приложение 5'!S816</f>
        <v>0</v>
      </c>
    </row>
    <row r="633" spans="8:19" ht="19.5">
      <c r="H633" s="227" t="s">
        <v>65</v>
      </c>
      <c r="I633" s="280"/>
      <c r="J633" s="95">
        <v>7</v>
      </c>
      <c r="K633" s="86">
        <v>3</v>
      </c>
      <c r="L633" s="87"/>
      <c r="M633" s="88"/>
      <c r="N633" s="88"/>
      <c r="O633" s="88"/>
      <c r="P633" s="93"/>
      <c r="Q633" s="127">
        <f>Q638+Q647+Q634</f>
        <v>21333.399999999998</v>
      </c>
      <c r="R633" s="127">
        <f>R638+R647+R634</f>
        <v>22256.899999999998</v>
      </c>
      <c r="S633" s="127">
        <f>S638+S647+S634</f>
        <v>23303.100000000002</v>
      </c>
    </row>
    <row r="634" spans="8:19" ht="31.5">
      <c r="H634" s="25" t="s">
        <v>583</v>
      </c>
      <c r="I634" s="298"/>
      <c r="J634" s="11">
        <v>7</v>
      </c>
      <c r="K634" s="11">
        <v>3</v>
      </c>
      <c r="L634" s="57" t="s">
        <v>221</v>
      </c>
      <c r="M634" s="58" t="s">
        <v>220</v>
      </c>
      <c r="N634" s="58" t="s">
        <v>229</v>
      </c>
      <c r="O634" s="58" t="s">
        <v>261</v>
      </c>
      <c r="P634" s="3"/>
      <c r="Q634" s="126">
        <f>Q635</f>
        <v>7.7</v>
      </c>
      <c r="R634" s="126">
        <f aca="true" t="shared" si="62" ref="R634:S636">R635</f>
        <v>5.8</v>
      </c>
      <c r="S634" s="126">
        <f t="shared" si="62"/>
        <v>5.8</v>
      </c>
    </row>
    <row r="635" spans="8:19" ht="31.5">
      <c r="H635" s="25" t="s">
        <v>289</v>
      </c>
      <c r="I635" s="298"/>
      <c r="J635" s="11">
        <v>7</v>
      </c>
      <c r="K635" s="11">
        <v>3</v>
      </c>
      <c r="L635" s="57" t="s">
        <v>221</v>
      </c>
      <c r="M635" s="58" t="s">
        <v>220</v>
      </c>
      <c r="N635" s="58" t="s">
        <v>232</v>
      </c>
      <c r="O635" s="58" t="s">
        <v>261</v>
      </c>
      <c r="P635" s="3"/>
      <c r="Q635" s="126">
        <f>Q636</f>
        <v>7.7</v>
      </c>
      <c r="R635" s="126">
        <f t="shared" si="62"/>
        <v>5.8</v>
      </c>
      <c r="S635" s="126">
        <f t="shared" si="62"/>
        <v>5.8</v>
      </c>
    </row>
    <row r="636" spans="8:19" ht="18.75">
      <c r="H636" s="303" t="s">
        <v>57</v>
      </c>
      <c r="I636" s="298"/>
      <c r="J636" s="11">
        <v>7</v>
      </c>
      <c r="K636" s="11">
        <v>3</v>
      </c>
      <c r="L636" s="57" t="s">
        <v>221</v>
      </c>
      <c r="M636" s="58" t="s">
        <v>220</v>
      </c>
      <c r="N636" s="58" t="s">
        <v>232</v>
      </c>
      <c r="O636" s="58" t="s">
        <v>14</v>
      </c>
      <c r="P636" s="3"/>
      <c r="Q636" s="126">
        <f>Q637</f>
        <v>7.7</v>
      </c>
      <c r="R636" s="126">
        <f t="shared" si="62"/>
        <v>5.8</v>
      </c>
      <c r="S636" s="126">
        <f t="shared" si="62"/>
        <v>5.8</v>
      </c>
    </row>
    <row r="637" spans="8:19" ht="18.75">
      <c r="H637" s="25" t="s">
        <v>301</v>
      </c>
      <c r="I637" s="298"/>
      <c r="J637" s="11">
        <v>7</v>
      </c>
      <c r="K637" s="11">
        <v>3</v>
      </c>
      <c r="L637" s="57" t="s">
        <v>221</v>
      </c>
      <c r="M637" s="58" t="s">
        <v>220</v>
      </c>
      <c r="N637" s="58" t="s">
        <v>232</v>
      </c>
      <c r="O637" s="58" t="s">
        <v>14</v>
      </c>
      <c r="P637" s="3">
        <v>610</v>
      </c>
      <c r="Q637" s="126">
        <f>'приложение 5'!Q347</f>
        <v>7.7</v>
      </c>
      <c r="R637" s="126">
        <f>'приложение 5'!R347</f>
        <v>5.8</v>
      </c>
      <c r="S637" s="126">
        <f>'приложение 5'!S347</f>
        <v>5.8</v>
      </c>
    </row>
    <row r="638" spans="8:19" ht="31.5">
      <c r="H638" s="2" t="s">
        <v>581</v>
      </c>
      <c r="I638" s="267"/>
      <c r="J638" s="4">
        <v>7</v>
      </c>
      <c r="K638" s="11">
        <v>3</v>
      </c>
      <c r="L638" s="57" t="s">
        <v>232</v>
      </c>
      <c r="M638" s="58" t="s">
        <v>220</v>
      </c>
      <c r="N638" s="58" t="s">
        <v>229</v>
      </c>
      <c r="O638" s="58" t="s">
        <v>261</v>
      </c>
      <c r="P638" s="3"/>
      <c r="Q638" s="126">
        <f>Q639+Q644</f>
        <v>11447.199999999999</v>
      </c>
      <c r="R638" s="126">
        <f>R639+R644</f>
        <v>10475.5</v>
      </c>
      <c r="S638" s="126">
        <f>S639+S644</f>
        <v>10995.7</v>
      </c>
    </row>
    <row r="639" spans="8:19" ht="18.75">
      <c r="H639" s="2" t="s">
        <v>582</v>
      </c>
      <c r="I639" s="267"/>
      <c r="J639" s="4">
        <v>7</v>
      </c>
      <c r="K639" s="11">
        <v>3</v>
      </c>
      <c r="L639" s="57" t="s">
        <v>232</v>
      </c>
      <c r="M639" s="58" t="s">
        <v>220</v>
      </c>
      <c r="N639" s="58" t="s">
        <v>237</v>
      </c>
      <c r="O639" s="58" t="s">
        <v>261</v>
      </c>
      <c r="P639" s="3"/>
      <c r="Q639" s="126">
        <f>Q640+Q642</f>
        <v>10447.199999999999</v>
      </c>
      <c r="R639" s="126">
        <f>R640+R642</f>
        <v>10475.5</v>
      </c>
      <c r="S639" s="126">
        <f>S640+S642</f>
        <v>10995.7</v>
      </c>
    </row>
    <row r="640" spans="8:19" ht="18.75">
      <c r="H640" s="2" t="s">
        <v>57</v>
      </c>
      <c r="I640" s="267"/>
      <c r="J640" s="4">
        <v>7</v>
      </c>
      <c r="K640" s="11">
        <v>3</v>
      </c>
      <c r="L640" s="57" t="s">
        <v>232</v>
      </c>
      <c r="M640" s="58" t="s">
        <v>220</v>
      </c>
      <c r="N640" s="58" t="s">
        <v>237</v>
      </c>
      <c r="O640" s="58" t="s">
        <v>14</v>
      </c>
      <c r="P640" s="3"/>
      <c r="Q640" s="126">
        <f>Q641</f>
        <v>6459.799999999999</v>
      </c>
      <c r="R640" s="126">
        <f>R641</f>
        <v>6106.2</v>
      </c>
      <c r="S640" s="126">
        <f>S641</f>
        <v>6168.4</v>
      </c>
    </row>
    <row r="641" spans="8:19" ht="18.75">
      <c r="H641" s="2" t="s">
        <v>301</v>
      </c>
      <c r="I641" s="267"/>
      <c r="J641" s="4">
        <v>7</v>
      </c>
      <c r="K641" s="11">
        <v>3</v>
      </c>
      <c r="L641" s="57" t="s">
        <v>232</v>
      </c>
      <c r="M641" s="58" t="s">
        <v>220</v>
      </c>
      <c r="N641" s="58" t="s">
        <v>237</v>
      </c>
      <c r="O641" s="58" t="s">
        <v>14</v>
      </c>
      <c r="P641" s="3">
        <v>610</v>
      </c>
      <c r="Q641" s="126">
        <f>'приложение 5'!Q821</f>
        <v>6459.799999999999</v>
      </c>
      <c r="R641" s="126">
        <f>'приложение 5'!R821</f>
        <v>6106.2</v>
      </c>
      <c r="S641" s="126">
        <f>'приложение 5'!S821</f>
        <v>6168.4</v>
      </c>
    </row>
    <row r="642" spans="8:19" ht="31.5">
      <c r="H642" s="2" t="s">
        <v>374</v>
      </c>
      <c r="I642" s="267"/>
      <c r="J642" s="4">
        <v>7</v>
      </c>
      <c r="K642" s="11">
        <v>3</v>
      </c>
      <c r="L642" s="57" t="s">
        <v>232</v>
      </c>
      <c r="M642" s="58" t="s">
        <v>220</v>
      </c>
      <c r="N642" s="58" t="s">
        <v>237</v>
      </c>
      <c r="O642" s="58" t="s">
        <v>373</v>
      </c>
      <c r="P642" s="3"/>
      <c r="Q642" s="126">
        <f>Q643</f>
        <v>3987.4</v>
      </c>
      <c r="R642" s="126">
        <f>R643</f>
        <v>4369.3</v>
      </c>
      <c r="S642" s="126">
        <f>S643</f>
        <v>4827.3</v>
      </c>
    </row>
    <row r="643" spans="8:19" ht="18.75">
      <c r="H643" s="2" t="s">
        <v>301</v>
      </c>
      <c r="I643" s="267"/>
      <c r="J643" s="4">
        <v>7</v>
      </c>
      <c r="K643" s="11">
        <v>3</v>
      </c>
      <c r="L643" s="57" t="s">
        <v>232</v>
      </c>
      <c r="M643" s="58" t="s">
        <v>220</v>
      </c>
      <c r="N643" s="58" t="s">
        <v>237</v>
      </c>
      <c r="O643" s="58" t="s">
        <v>373</v>
      </c>
      <c r="P643" s="3">
        <v>610</v>
      </c>
      <c r="Q643" s="126">
        <f>'приложение 5'!Q823</f>
        <v>3987.4</v>
      </c>
      <c r="R643" s="126">
        <f>'приложение 5'!R823</f>
        <v>4369.3</v>
      </c>
      <c r="S643" s="126">
        <f>'приложение 5'!S823</f>
        <v>4827.3</v>
      </c>
    </row>
    <row r="644" spans="8:19" ht="18.75">
      <c r="H644" s="2" t="s">
        <v>839</v>
      </c>
      <c r="I644" s="263"/>
      <c r="J644" s="4">
        <v>7</v>
      </c>
      <c r="K644" s="11">
        <v>3</v>
      </c>
      <c r="L644" s="57" t="s">
        <v>232</v>
      </c>
      <c r="M644" s="58" t="s">
        <v>220</v>
      </c>
      <c r="N644" s="58" t="s">
        <v>223</v>
      </c>
      <c r="O644" s="58" t="s">
        <v>261</v>
      </c>
      <c r="P644" s="3"/>
      <c r="Q644" s="124">
        <f aca="true" t="shared" si="63" ref="Q644:S645">Q645</f>
        <v>1000</v>
      </c>
      <c r="R644" s="124">
        <f t="shared" si="63"/>
        <v>0</v>
      </c>
      <c r="S644" s="124">
        <f t="shared" si="63"/>
        <v>0</v>
      </c>
    </row>
    <row r="645" spans="8:19" ht="18.75">
      <c r="H645" s="2" t="s">
        <v>57</v>
      </c>
      <c r="I645" s="263"/>
      <c r="J645" s="4">
        <v>7</v>
      </c>
      <c r="K645" s="11">
        <v>3</v>
      </c>
      <c r="L645" s="57" t="s">
        <v>232</v>
      </c>
      <c r="M645" s="58" t="s">
        <v>220</v>
      </c>
      <c r="N645" s="58" t="s">
        <v>223</v>
      </c>
      <c r="O645" s="58" t="s">
        <v>14</v>
      </c>
      <c r="P645" s="3"/>
      <c r="Q645" s="124">
        <f t="shared" si="63"/>
        <v>1000</v>
      </c>
      <c r="R645" s="124">
        <f t="shared" si="63"/>
        <v>0</v>
      </c>
      <c r="S645" s="124">
        <f t="shared" si="63"/>
        <v>0</v>
      </c>
    </row>
    <row r="646" spans="8:19" ht="18.75">
      <c r="H646" s="2" t="s">
        <v>301</v>
      </c>
      <c r="I646" s="263"/>
      <c r="J646" s="4">
        <v>7</v>
      </c>
      <c r="K646" s="11">
        <v>3</v>
      </c>
      <c r="L646" s="57" t="s">
        <v>232</v>
      </c>
      <c r="M646" s="58" t="s">
        <v>220</v>
      </c>
      <c r="N646" s="58" t="s">
        <v>223</v>
      </c>
      <c r="O646" s="58" t="s">
        <v>14</v>
      </c>
      <c r="P646" s="3">
        <v>610</v>
      </c>
      <c r="Q646" s="124">
        <f>'приложение 5'!Q826</f>
        <v>1000</v>
      </c>
      <c r="R646" s="124">
        <f>'приложение 5'!R826</f>
        <v>0</v>
      </c>
      <c r="S646" s="124">
        <f>'приложение 5'!S826</f>
        <v>0</v>
      </c>
    </row>
    <row r="647" spans="8:19" ht="18.75">
      <c r="H647" s="2" t="s">
        <v>549</v>
      </c>
      <c r="I647" s="281"/>
      <c r="J647" s="11">
        <v>7</v>
      </c>
      <c r="K647" s="11">
        <v>3</v>
      </c>
      <c r="L647" s="57" t="s">
        <v>219</v>
      </c>
      <c r="M647" s="58" t="s">
        <v>220</v>
      </c>
      <c r="N647" s="58" t="s">
        <v>229</v>
      </c>
      <c r="O647" s="58" t="s">
        <v>261</v>
      </c>
      <c r="P647" s="7"/>
      <c r="Q647" s="124">
        <f>Q648</f>
        <v>9878.5</v>
      </c>
      <c r="R647" s="124">
        <f>R648</f>
        <v>11775.599999999999</v>
      </c>
      <c r="S647" s="124">
        <f>S648</f>
        <v>12301.6</v>
      </c>
    </row>
    <row r="648" spans="8:19" ht="31.5">
      <c r="H648" s="2" t="s">
        <v>278</v>
      </c>
      <c r="I648" s="281"/>
      <c r="J648" s="11">
        <v>7</v>
      </c>
      <c r="K648" s="11">
        <v>3</v>
      </c>
      <c r="L648" s="57" t="s">
        <v>219</v>
      </c>
      <c r="M648" s="58" t="s">
        <v>220</v>
      </c>
      <c r="N648" s="58" t="s">
        <v>232</v>
      </c>
      <c r="O648" s="58" t="s">
        <v>261</v>
      </c>
      <c r="P648" s="7"/>
      <c r="Q648" s="124">
        <f>Q649+Q651</f>
        <v>9878.5</v>
      </c>
      <c r="R648" s="124">
        <f>R649+R651</f>
        <v>11775.599999999999</v>
      </c>
      <c r="S648" s="124">
        <f>S649+S651</f>
        <v>12301.6</v>
      </c>
    </row>
    <row r="649" spans="8:19" ht="18.75">
      <c r="H649" s="2" t="s">
        <v>57</v>
      </c>
      <c r="I649" s="263"/>
      <c r="J649" s="11">
        <v>7</v>
      </c>
      <c r="K649" s="11">
        <v>3</v>
      </c>
      <c r="L649" s="57" t="s">
        <v>219</v>
      </c>
      <c r="M649" s="58" t="s">
        <v>220</v>
      </c>
      <c r="N649" s="58" t="s">
        <v>232</v>
      </c>
      <c r="O649" s="58" t="s">
        <v>14</v>
      </c>
      <c r="P649" s="7"/>
      <c r="Q649" s="124">
        <f>Q650</f>
        <v>6332.7</v>
      </c>
      <c r="R649" s="124">
        <f>R650</f>
        <v>7407.9</v>
      </c>
      <c r="S649" s="124">
        <f>S650</f>
        <v>7476</v>
      </c>
    </row>
    <row r="650" spans="8:19" ht="18.75">
      <c r="H650" s="2" t="s">
        <v>301</v>
      </c>
      <c r="I650" s="263"/>
      <c r="J650" s="11">
        <v>7</v>
      </c>
      <c r="K650" s="11">
        <v>3</v>
      </c>
      <c r="L650" s="57" t="s">
        <v>219</v>
      </c>
      <c r="M650" s="58" t="s">
        <v>220</v>
      </c>
      <c r="N650" s="58" t="s">
        <v>232</v>
      </c>
      <c r="O650" s="58" t="s">
        <v>14</v>
      </c>
      <c r="P650" s="7">
        <v>610</v>
      </c>
      <c r="Q650" s="124">
        <f>'приложение 5'!Q351</f>
        <v>6332.7</v>
      </c>
      <c r="R650" s="124">
        <f>'приложение 5'!R351</f>
        <v>7407.9</v>
      </c>
      <c r="S650" s="124">
        <f>'приложение 5'!S351</f>
        <v>7476</v>
      </c>
    </row>
    <row r="651" spans="8:19" ht="31.5">
      <c r="H651" s="2" t="s">
        <v>374</v>
      </c>
      <c r="I651" s="281"/>
      <c r="J651" s="11">
        <v>7</v>
      </c>
      <c r="K651" s="11">
        <v>3</v>
      </c>
      <c r="L651" s="57" t="s">
        <v>219</v>
      </c>
      <c r="M651" s="58" t="s">
        <v>220</v>
      </c>
      <c r="N651" s="58" t="s">
        <v>232</v>
      </c>
      <c r="O651" s="58" t="s">
        <v>373</v>
      </c>
      <c r="P651" s="7"/>
      <c r="Q651" s="124">
        <f>Q652</f>
        <v>3545.8</v>
      </c>
      <c r="R651" s="124">
        <f>R652</f>
        <v>4367.7</v>
      </c>
      <c r="S651" s="124">
        <f>S652</f>
        <v>4825.6</v>
      </c>
    </row>
    <row r="652" spans="8:19" ht="18.75">
      <c r="H652" s="2" t="s">
        <v>301</v>
      </c>
      <c r="I652" s="263"/>
      <c r="J652" s="11">
        <v>7</v>
      </c>
      <c r="K652" s="11">
        <v>3</v>
      </c>
      <c r="L652" s="57" t="s">
        <v>219</v>
      </c>
      <c r="M652" s="58" t="s">
        <v>220</v>
      </c>
      <c r="N652" s="58" t="s">
        <v>232</v>
      </c>
      <c r="O652" s="58" t="s">
        <v>373</v>
      </c>
      <c r="P652" s="7">
        <v>610</v>
      </c>
      <c r="Q652" s="124">
        <f>'приложение 5'!Q353</f>
        <v>3545.8</v>
      </c>
      <c r="R652" s="124">
        <f>'приложение 5'!R353</f>
        <v>4367.7</v>
      </c>
      <c r="S652" s="124">
        <f>'приложение 5'!S353</f>
        <v>4825.6</v>
      </c>
    </row>
    <row r="653" spans="8:19" ht="19.5">
      <c r="H653" s="227" t="s">
        <v>59</v>
      </c>
      <c r="I653" s="297"/>
      <c r="J653" s="86">
        <v>7</v>
      </c>
      <c r="K653" s="86">
        <v>7</v>
      </c>
      <c r="L653" s="87"/>
      <c r="M653" s="88"/>
      <c r="N653" s="88"/>
      <c r="O653" s="88"/>
      <c r="P653" s="85"/>
      <c r="Q653" s="123">
        <f>Q654</f>
        <v>886</v>
      </c>
      <c r="R653" s="123">
        <f>R654</f>
        <v>319.2</v>
      </c>
      <c r="S653" s="123">
        <f>S654</f>
        <v>320</v>
      </c>
    </row>
    <row r="654" spans="8:19" ht="18.75">
      <c r="H654" s="2" t="s">
        <v>550</v>
      </c>
      <c r="I654" s="281"/>
      <c r="J654" s="11">
        <v>7</v>
      </c>
      <c r="K654" s="11">
        <v>7</v>
      </c>
      <c r="L654" s="57" t="s">
        <v>230</v>
      </c>
      <c r="M654" s="58" t="s">
        <v>220</v>
      </c>
      <c r="N654" s="58" t="s">
        <v>229</v>
      </c>
      <c r="O654" s="58" t="s">
        <v>261</v>
      </c>
      <c r="P654" s="7"/>
      <c r="Q654" s="124">
        <f>Q655+Q659+Q663+Q667</f>
        <v>886</v>
      </c>
      <c r="R654" s="124">
        <f>R655+R659+R663+R667</f>
        <v>319.2</v>
      </c>
      <c r="S654" s="124">
        <f>S655+S659+S663+S667</f>
        <v>320</v>
      </c>
    </row>
    <row r="655" spans="8:19" ht="31.5">
      <c r="H655" s="2" t="s">
        <v>280</v>
      </c>
      <c r="I655" s="281"/>
      <c r="J655" s="11">
        <v>7</v>
      </c>
      <c r="K655" s="11">
        <v>7</v>
      </c>
      <c r="L655" s="57" t="s">
        <v>230</v>
      </c>
      <c r="M655" s="58" t="s">
        <v>220</v>
      </c>
      <c r="N655" s="58" t="s">
        <v>221</v>
      </c>
      <c r="O655" s="58" t="s">
        <v>261</v>
      </c>
      <c r="P655" s="7"/>
      <c r="Q655" s="124">
        <f>Q656</f>
        <v>296</v>
      </c>
      <c r="R655" s="124">
        <f>R656</f>
        <v>159.2</v>
      </c>
      <c r="S655" s="124">
        <f>S656</f>
        <v>160</v>
      </c>
    </row>
    <row r="656" spans="8:19" ht="18.75">
      <c r="H656" s="2" t="s">
        <v>438</v>
      </c>
      <c r="I656" s="281"/>
      <c r="J656" s="11">
        <v>7</v>
      </c>
      <c r="K656" s="11">
        <v>7</v>
      </c>
      <c r="L656" s="57" t="s">
        <v>230</v>
      </c>
      <c r="M656" s="58" t="s">
        <v>220</v>
      </c>
      <c r="N656" s="58" t="s">
        <v>221</v>
      </c>
      <c r="O656" s="58" t="s">
        <v>437</v>
      </c>
      <c r="P656" s="7"/>
      <c r="Q656" s="124">
        <f>Q657+Q658</f>
        <v>296</v>
      </c>
      <c r="R656" s="124">
        <f>R657+R658</f>
        <v>159.2</v>
      </c>
      <c r="S656" s="124">
        <f>S657+S658</f>
        <v>160</v>
      </c>
    </row>
    <row r="657" spans="8:19" ht="18.75" hidden="1">
      <c r="H657" s="2" t="s">
        <v>299</v>
      </c>
      <c r="I657" s="263"/>
      <c r="J657" s="11">
        <v>7</v>
      </c>
      <c r="K657" s="11">
        <v>7</v>
      </c>
      <c r="L657" s="57" t="s">
        <v>230</v>
      </c>
      <c r="M657" s="58" t="s">
        <v>220</v>
      </c>
      <c r="N657" s="58" t="s">
        <v>221</v>
      </c>
      <c r="O657" s="58" t="s">
        <v>437</v>
      </c>
      <c r="P657" s="7">
        <v>240</v>
      </c>
      <c r="Q657" s="124">
        <f>'приложение 5'!Q358</f>
        <v>0</v>
      </c>
      <c r="R657" s="124">
        <f>'приложение 5'!R358</f>
        <v>0</v>
      </c>
      <c r="S657" s="124">
        <f>'приложение 5'!S358</f>
        <v>0</v>
      </c>
    </row>
    <row r="658" spans="8:19" ht="18.75">
      <c r="H658" s="2" t="s">
        <v>301</v>
      </c>
      <c r="I658" s="281"/>
      <c r="J658" s="11">
        <v>7</v>
      </c>
      <c r="K658" s="11">
        <v>7</v>
      </c>
      <c r="L658" s="57" t="s">
        <v>230</v>
      </c>
      <c r="M658" s="58" t="s">
        <v>220</v>
      </c>
      <c r="N658" s="58" t="s">
        <v>221</v>
      </c>
      <c r="O658" s="58" t="s">
        <v>437</v>
      </c>
      <c r="P658" s="7">
        <v>610</v>
      </c>
      <c r="Q658" s="124">
        <f>'приложение 5'!Q359</f>
        <v>296</v>
      </c>
      <c r="R658" s="124">
        <f>'приложение 5'!R359</f>
        <v>159.2</v>
      </c>
      <c r="S658" s="124">
        <f>'приложение 5'!S359</f>
        <v>160</v>
      </c>
    </row>
    <row r="659" spans="8:19" ht="31.5">
      <c r="H659" s="2" t="s">
        <v>281</v>
      </c>
      <c r="I659" s="281"/>
      <c r="J659" s="11">
        <v>7</v>
      </c>
      <c r="K659" s="11">
        <v>7</v>
      </c>
      <c r="L659" s="57" t="s">
        <v>230</v>
      </c>
      <c r="M659" s="58" t="s">
        <v>220</v>
      </c>
      <c r="N659" s="58" t="s">
        <v>236</v>
      </c>
      <c r="O659" s="58" t="s">
        <v>261</v>
      </c>
      <c r="P659" s="7"/>
      <c r="Q659" s="124">
        <f>Q660</f>
        <v>70</v>
      </c>
      <c r="R659" s="124">
        <f>R660</f>
        <v>60</v>
      </c>
      <c r="S659" s="124">
        <f>S660</f>
        <v>60</v>
      </c>
    </row>
    <row r="660" spans="8:19" ht="18.75">
      <c r="H660" s="2" t="s">
        <v>438</v>
      </c>
      <c r="I660" s="281"/>
      <c r="J660" s="11">
        <v>7</v>
      </c>
      <c r="K660" s="11">
        <v>7</v>
      </c>
      <c r="L660" s="57" t="s">
        <v>230</v>
      </c>
      <c r="M660" s="58" t="s">
        <v>220</v>
      </c>
      <c r="N660" s="58" t="s">
        <v>236</v>
      </c>
      <c r="O660" s="58" t="s">
        <v>437</v>
      </c>
      <c r="P660" s="7"/>
      <c r="Q660" s="124">
        <f>Q661+Q662</f>
        <v>70</v>
      </c>
      <c r="R660" s="124">
        <f>R661+R662</f>
        <v>60</v>
      </c>
      <c r="S660" s="124">
        <f>S661+S662</f>
        <v>60</v>
      </c>
    </row>
    <row r="661" spans="8:19" ht="18.75" hidden="1">
      <c r="H661" s="2" t="s">
        <v>299</v>
      </c>
      <c r="I661" s="263"/>
      <c r="J661" s="11">
        <v>7</v>
      </c>
      <c r="K661" s="11">
        <v>7</v>
      </c>
      <c r="L661" s="57" t="s">
        <v>230</v>
      </c>
      <c r="M661" s="58" t="s">
        <v>220</v>
      </c>
      <c r="N661" s="58" t="s">
        <v>236</v>
      </c>
      <c r="O661" s="58" t="s">
        <v>437</v>
      </c>
      <c r="P661" s="7">
        <v>240</v>
      </c>
      <c r="Q661" s="124">
        <f>'приложение 5'!Q362</f>
        <v>0</v>
      </c>
      <c r="R661" s="124">
        <f>'приложение 5'!R362</f>
        <v>0</v>
      </c>
      <c r="S661" s="124">
        <f>'приложение 5'!S362</f>
        <v>0</v>
      </c>
    </row>
    <row r="662" spans="8:19" ht="18.75">
      <c r="H662" s="2" t="s">
        <v>301</v>
      </c>
      <c r="I662" s="263"/>
      <c r="J662" s="11">
        <v>7</v>
      </c>
      <c r="K662" s="11">
        <v>7</v>
      </c>
      <c r="L662" s="57" t="s">
        <v>230</v>
      </c>
      <c r="M662" s="58" t="s">
        <v>220</v>
      </c>
      <c r="N662" s="58" t="s">
        <v>236</v>
      </c>
      <c r="O662" s="58" t="s">
        <v>437</v>
      </c>
      <c r="P662" s="7">
        <v>610</v>
      </c>
      <c r="Q662" s="124">
        <f>'приложение 5'!Q363</f>
        <v>70</v>
      </c>
      <c r="R662" s="124">
        <f>'приложение 5'!R363</f>
        <v>60</v>
      </c>
      <c r="S662" s="124">
        <f>'приложение 5'!S363</f>
        <v>60</v>
      </c>
    </row>
    <row r="663" spans="8:19" ht="31.5">
      <c r="H663" s="2" t="s">
        <v>551</v>
      </c>
      <c r="I663" s="263"/>
      <c r="J663" s="11">
        <v>7</v>
      </c>
      <c r="K663" s="11">
        <v>7</v>
      </c>
      <c r="L663" s="57" t="s">
        <v>230</v>
      </c>
      <c r="M663" s="58" t="s">
        <v>220</v>
      </c>
      <c r="N663" s="58" t="s">
        <v>237</v>
      </c>
      <c r="O663" s="58" t="s">
        <v>261</v>
      </c>
      <c r="P663" s="7"/>
      <c r="Q663" s="124">
        <f>Q664</f>
        <v>150</v>
      </c>
      <c r="R663" s="124">
        <f>R664</f>
        <v>100</v>
      </c>
      <c r="S663" s="124">
        <f>S664</f>
        <v>100</v>
      </c>
    </row>
    <row r="664" spans="8:19" ht="18.75">
      <c r="H664" s="2" t="s">
        <v>438</v>
      </c>
      <c r="I664" s="281"/>
      <c r="J664" s="11">
        <v>7</v>
      </c>
      <c r="K664" s="11">
        <v>7</v>
      </c>
      <c r="L664" s="57" t="s">
        <v>230</v>
      </c>
      <c r="M664" s="58" t="s">
        <v>220</v>
      </c>
      <c r="N664" s="58" t="s">
        <v>237</v>
      </c>
      <c r="O664" s="58" t="s">
        <v>437</v>
      </c>
      <c r="P664" s="7"/>
      <c r="Q664" s="124">
        <f>Q665+Q666</f>
        <v>150</v>
      </c>
      <c r="R664" s="124">
        <f>R665+R666</f>
        <v>100</v>
      </c>
      <c r="S664" s="124">
        <f>S665+S666</f>
        <v>100</v>
      </c>
    </row>
    <row r="665" spans="8:19" ht="18.75" hidden="1">
      <c r="H665" s="2" t="s">
        <v>299</v>
      </c>
      <c r="I665" s="263"/>
      <c r="J665" s="11">
        <v>7</v>
      </c>
      <c r="K665" s="11">
        <v>7</v>
      </c>
      <c r="L665" s="57" t="s">
        <v>230</v>
      </c>
      <c r="M665" s="58" t="s">
        <v>220</v>
      </c>
      <c r="N665" s="58" t="s">
        <v>237</v>
      </c>
      <c r="O665" s="58" t="s">
        <v>437</v>
      </c>
      <c r="P665" s="7">
        <v>240</v>
      </c>
      <c r="Q665" s="124">
        <f>'приложение 5'!Q366</f>
        <v>0</v>
      </c>
      <c r="R665" s="124">
        <f>'приложение 5'!R366</f>
        <v>0</v>
      </c>
      <c r="S665" s="124">
        <f>'приложение 5'!S366</f>
        <v>0</v>
      </c>
    </row>
    <row r="666" spans="8:19" ht="18.75">
      <c r="H666" s="2" t="str">
        <f>H652</f>
        <v>Субсидии бюджетным учреждениям</v>
      </c>
      <c r="I666" s="263"/>
      <c r="J666" s="11">
        <v>7</v>
      </c>
      <c r="K666" s="11">
        <v>7</v>
      </c>
      <c r="L666" s="57" t="s">
        <v>230</v>
      </c>
      <c r="M666" s="58" t="s">
        <v>220</v>
      </c>
      <c r="N666" s="58" t="s">
        <v>237</v>
      </c>
      <c r="O666" s="58" t="s">
        <v>437</v>
      </c>
      <c r="P666" s="3">
        <v>610</v>
      </c>
      <c r="Q666" s="126">
        <f>'приложение 5'!Q367</f>
        <v>150</v>
      </c>
      <c r="R666" s="126">
        <f>'приложение 5'!R367</f>
        <v>100</v>
      </c>
      <c r="S666" s="126">
        <f>'приложение 5'!S367</f>
        <v>100</v>
      </c>
    </row>
    <row r="667" spans="8:19" ht="18.75">
      <c r="H667" s="2" t="s">
        <v>1113</v>
      </c>
      <c r="I667" s="263"/>
      <c r="J667" s="11">
        <v>7</v>
      </c>
      <c r="K667" s="11">
        <v>7</v>
      </c>
      <c r="L667" s="57" t="s">
        <v>230</v>
      </c>
      <c r="M667" s="58" t="s">
        <v>220</v>
      </c>
      <c r="N667" s="58" t="s">
        <v>223</v>
      </c>
      <c r="O667" s="58" t="s">
        <v>261</v>
      </c>
      <c r="P667" s="7"/>
      <c r="Q667" s="126">
        <f aca="true" t="shared" si="64" ref="Q667:S668">Q668</f>
        <v>370</v>
      </c>
      <c r="R667" s="126">
        <f t="shared" si="64"/>
        <v>0</v>
      </c>
      <c r="S667" s="126">
        <f t="shared" si="64"/>
        <v>0</v>
      </c>
    </row>
    <row r="668" spans="8:19" ht="18.75">
      <c r="H668" s="2" t="s">
        <v>1112</v>
      </c>
      <c r="I668" s="263"/>
      <c r="J668" s="11">
        <v>7</v>
      </c>
      <c r="K668" s="11">
        <v>7</v>
      </c>
      <c r="L668" s="57" t="s">
        <v>230</v>
      </c>
      <c r="M668" s="58" t="s">
        <v>220</v>
      </c>
      <c r="N668" s="58" t="s">
        <v>223</v>
      </c>
      <c r="O668" s="58" t="s">
        <v>1111</v>
      </c>
      <c r="P668" s="7"/>
      <c r="Q668" s="126">
        <f t="shared" si="64"/>
        <v>370</v>
      </c>
      <c r="R668" s="126">
        <f t="shared" si="64"/>
        <v>0</v>
      </c>
      <c r="S668" s="126">
        <f t="shared" si="64"/>
        <v>0</v>
      </c>
    </row>
    <row r="669" spans="8:19" ht="18.75">
      <c r="H669" s="2" t="s">
        <v>301</v>
      </c>
      <c r="I669" s="263"/>
      <c r="J669" s="11">
        <v>7</v>
      </c>
      <c r="K669" s="11">
        <v>7</v>
      </c>
      <c r="L669" s="57" t="s">
        <v>230</v>
      </c>
      <c r="M669" s="58" t="s">
        <v>220</v>
      </c>
      <c r="N669" s="58" t="s">
        <v>223</v>
      </c>
      <c r="O669" s="58" t="s">
        <v>1111</v>
      </c>
      <c r="P669" s="7">
        <v>610</v>
      </c>
      <c r="Q669" s="126">
        <f>'приложение 5'!Q370</f>
        <v>370</v>
      </c>
      <c r="R669" s="126">
        <f>'приложение 5'!R370</f>
        <v>0</v>
      </c>
      <c r="S669" s="126">
        <f>'приложение 5'!S370</f>
        <v>0</v>
      </c>
    </row>
    <row r="670" spans="8:19" ht="19.5">
      <c r="H670" s="227" t="s">
        <v>208</v>
      </c>
      <c r="I670" s="280"/>
      <c r="J670" s="95">
        <v>7</v>
      </c>
      <c r="K670" s="86">
        <v>9</v>
      </c>
      <c r="L670" s="87"/>
      <c r="M670" s="88"/>
      <c r="N670" s="88"/>
      <c r="O670" s="88"/>
      <c r="P670" s="93"/>
      <c r="Q670" s="127">
        <f>Q671+Q688+Q736</f>
        <v>34654</v>
      </c>
      <c r="R670" s="127">
        <f>R671+R688+R736</f>
        <v>27888</v>
      </c>
      <c r="S670" s="127">
        <f>S671+S688+S736</f>
        <v>59187.00000000001</v>
      </c>
    </row>
    <row r="671" spans="8:19" ht="31.5">
      <c r="H671" s="2" t="s">
        <v>583</v>
      </c>
      <c r="I671" s="267"/>
      <c r="J671" s="4">
        <v>7</v>
      </c>
      <c r="K671" s="11">
        <v>9</v>
      </c>
      <c r="L671" s="57" t="s">
        <v>221</v>
      </c>
      <c r="M671" s="58" t="s">
        <v>220</v>
      </c>
      <c r="N671" s="58" t="s">
        <v>229</v>
      </c>
      <c r="O671" s="58" t="s">
        <v>261</v>
      </c>
      <c r="P671" s="3"/>
      <c r="Q671" s="126">
        <f>Q672+Q675+Q678+Q681+Q684</f>
        <v>506.6</v>
      </c>
      <c r="R671" s="126">
        <f>R672+R675+R678+R681+R684</f>
        <v>694.8</v>
      </c>
      <c r="S671" s="126">
        <f>S672+S675+S678+S681+S684</f>
        <v>683.8</v>
      </c>
    </row>
    <row r="672" spans="8:19" ht="31.5">
      <c r="H672" s="2" t="s">
        <v>168</v>
      </c>
      <c r="I672" s="267"/>
      <c r="J672" s="4">
        <v>7</v>
      </c>
      <c r="K672" s="11">
        <v>9</v>
      </c>
      <c r="L672" s="57" t="s">
        <v>221</v>
      </c>
      <c r="M672" s="58" t="s">
        <v>220</v>
      </c>
      <c r="N672" s="58" t="s">
        <v>221</v>
      </c>
      <c r="O672" s="58" t="s">
        <v>261</v>
      </c>
      <c r="P672" s="3"/>
      <c r="Q672" s="126">
        <f aca="true" t="shared" si="65" ref="Q672:S673">Q673</f>
        <v>15</v>
      </c>
      <c r="R672" s="126">
        <f t="shared" si="65"/>
        <v>15</v>
      </c>
      <c r="S672" s="126">
        <f t="shared" si="65"/>
        <v>15</v>
      </c>
    </row>
    <row r="673" spans="8:19" ht="18.75">
      <c r="H673" s="2" t="s">
        <v>60</v>
      </c>
      <c r="I673" s="267"/>
      <c r="J673" s="4">
        <v>7</v>
      </c>
      <c r="K673" s="11">
        <v>9</v>
      </c>
      <c r="L673" s="57" t="s">
        <v>221</v>
      </c>
      <c r="M673" s="58" t="s">
        <v>220</v>
      </c>
      <c r="N673" s="58" t="s">
        <v>221</v>
      </c>
      <c r="O673" s="58" t="s">
        <v>264</v>
      </c>
      <c r="P673" s="3"/>
      <c r="Q673" s="126">
        <f t="shared" si="65"/>
        <v>15</v>
      </c>
      <c r="R673" s="126">
        <f t="shared" si="65"/>
        <v>15</v>
      </c>
      <c r="S673" s="126">
        <f t="shared" si="65"/>
        <v>15</v>
      </c>
    </row>
    <row r="674" spans="8:19" ht="18.75">
      <c r="H674" s="2" t="s">
        <v>299</v>
      </c>
      <c r="I674" s="265"/>
      <c r="J674" s="4">
        <v>7</v>
      </c>
      <c r="K674" s="11">
        <v>9</v>
      </c>
      <c r="L674" s="57" t="s">
        <v>221</v>
      </c>
      <c r="M674" s="58" t="s">
        <v>220</v>
      </c>
      <c r="N674" s="58" t="s">
        <v>221</v>
      </c>
      <c r="O674" s="58" t="s">
        <v>264</v>
      </c>
      <c r="P674" s="3">
        <v>240</v>
      </c>
      <c r="Q674" s="126">
        <f>'приложение 5'!Q831</f>
        <v>15</v>
      </c>
      <c r="R674" s="126">
        <f>'приложение 5'!R831</f>
        <v>15</v>
      </c>
      <c r="S674" s="126">
        <f>'приложение 5'!S831</f>
        <v>15</v>
      </c>
    </row>
    <row r="675" spans="8:19" ht="31.5">
      <c r="H675" s="2" t="s">
        <v>50</v>
      </c>
      <c r="I675" s="267"/>
      <c r="J675" s="4">
        <v>7</v>
      </c>
      <c r="K675" s="11">
        <v>9</v>
      </c>
      <c r="L675" s="57" t="s">
        <v>221</v>
      </c>
      <c r="M675" s="58" t="s">
        <v>220</v>
      </c>
      <c r="N675" s="58" t="s">
        <v>236</v>
      </c>
      <c r="O675" s="58" t="s">
        <v>261</v>
      </c>
      <c r="P675" s="3"/>
      <c r="Q675" s="126">
        <f aca="true" t="shared" si="66" ref="Q675:S676">Q676</f>
        <v>7.900000000000006</v>
      </c>
      <c r="R675" s="126">
        <f t="shared" si="66"/>
        <v>133</v>
      </c>
      <c r="S675" s="126">
        <f t="shared" si="66"/>
        <v>133</v>
      </c>
    </row>
    <row r="676" spans="8:19" ht="18.75">
      <c r="H676" s="2" t="s">
        <v>60</v>
      </c>
      <c r="I676" s="267"/>
      <c r="J676" s="4">
        <v>7</v>
      </c>
      <c r="K676" s="11">
        <v>9</v>
      </c>
      <c r="L676" s="57" t="s">
        <v>221</v>
      </c>
      <c r="M676" s="58" t="s">
        <v>220</v>
      </c>
      <c r="N676" s="58" t="s">
        <v>236</v>
      </c>
      <c r="O676" s="58" t="s">
        <v>264</v>
      </c>
      <c r="P676" s="3"/>
      <c r="Q676" s="126">
        <f t="shared" si="66"/>
        <v>7.900000000000006</v>
      </c>
      <c r="R676" s="126">
        <f t="shared" si="66"/>
        <v>133</v>
      </c>
      <c r="S676" s="126">
        <f t="shared" si="66"/>
        <v>133</v>
      </c>
    </row>
    <row r="677" spans="8:19" ht="18.75">
      <c r="H677" s="2" t="s">
        <v>299</v>
      </c>
      <c r="I677" s="265"/>
      <c r="J677" s="4">
        <v>7</v>
      </c>
      <c r="K677" s="11">
        <v>9</v>
      </c>
      <c r="L677" s="57" t="s">
        <v>221</v>
      </c>
      <c r="M677" s="58" t="s">
        <v>220</v>
      </c>
      <c r="N677" s="58" t="s">
        <v>236</v>
      </c>
      <c r="O677" s="58" t="s">
        <v>264</v>
      </c>
      <c r="P677" s="3">
        <v>240</v>
      </c>
      <c r="Q677" s="126">
        <f>'приложение 5'!Q834</f>
        <v>7.900000000000006</v>
      </c>
      <c r="R677" s="126">
        <f>'приложение 5'!R834</f>
        <v>133</v>
      </c>
      <c r="S677" s="126">
        <f>'приложение 5'!S834</f>
        <v>133</v>
      </c>
    </row>
    <row r="678" spans="8:19" ht="31.5">
      <c r="H678" s="2" t="s">
        <v>47</v>
      </c>
      <c r="I678" s="267"/>
      <c r="J678" s="4">
        <v>7</v>
      </c>
      <c r="K678" s="11">
        <v>9</v>
      </c>
      <c r="L678" s="57" t="s">
        <v>221</v>
      </c>
      <c r="M678" s="58" t="s">
        <v>220</v>
      </c>
      <c r="N678" s="58" t="s">
        <v>237</v>
      </c>
      <c r="O678" s="58" t="s">
        <v>261</v>
      </c>
      <c r="P678" s="3"/>
      <c r="Q678" s="126">
        <f aca="true" t="shared" si="67" ref="Q678:S679">Q679</f>
        <v>5</v>
      </c>
      <c r="R678" s="126">
        <f t="shared" si="67"/>
        <v>8</v>
      </c>
      <c r="S678" s="126">
        <f t="shared" si="67"/>
        <v>8</v>
      </c>
    </row>
    <row r="679" spans="8:19" ht="18.75">
      <c r="H679" s="2" t="s">
        <v>60</v>
      </c>
      <c r="I679" s="267"/>
      <c r="J679" s="4">
        <v>7</v>
      </c>
      <c r="K679" s="11">
        <v>9</v>
      </c>
      <c r="L679" s="57" t="s">
        <v>221</v>
      </c>
      <c r="M679" s="58" t="s">
        <v>220</v>
      </c>
      <c r="N679" s="58" t="s">
        <v>237</v>
      </c>
      <c r="O679" s="58" t="s">
        <v>264</v>
      </c>
      <c r="P679" s="3"/>
      <c r="Q679" s="126">
        <f t="shared" si="67"/>
        <v>5</v>
      </c>
      <c r="R679" s="126">
        <f t="shared" si="67"/>
        <v>8</v>
      </c>
      <c r="S679" s="126">
        <f t="shared" si="67"/>
        <v>8</v>
      </c>
    </row>
    <row r="680" spans="8:19" ht="18.75">
      <c r="H680" s="2" t="s">
        <v>299</v>
      </c>
      <c r="I680" s="265"/>
      <c r="J680" s="4">
        <v>7</v>
      </c>
      <c r="K680" s="11">
        <v>9</v>
      </c>
      <c r="L680" s="57" t="s">
        <v>221</v>
      </c>
      <c r="M680" s="58" t="s">
        <v>220</v>
      </c>
      <c r="N680" s="58" t="s">
        <v>237</v>
      </c>
      <c r="O680" s="58" t="s">
        <v>264</v>
      </c>
      <c r="P680" s="3">
        <v>240</v>
      </c>
      <c r="Q680" s="126">
        <f>'приложение 5'!Q837</f>
        <v>5</v>
      </c>
      <c r="R680" s="126">
        <f>'приложение 5'!R837</f>
        <v>8</v>
      </c>
      <c r="S680" s="126">
        <f>'приложение 5'!S837</f>
        <v>8</v>
      </c>
    </row>
    <row r="681" spans="8:19" ht="31.5">
      <c r="H681" s="2" t="s">
        <v>289</v>
      </c>
      <c r="I681" s="267"/>
      <c r="J681" s="4">
        <v>7</v>
      </c>
      <c r="K681" s="11">
        <v>9</v>
      </c>
      <c r="L681" s="57" t="s">
        <v>221</v>
      </c>
      <c r="M681" s="58" t="s">
        <v>220</v>
      </c>
      <c r="N681" s="58" t="s">
        <v>232</v>
      </c>
      <c r="O681" s="58" t="s">
        <v>261</v>
      </c>
      <c r="P681" s="3"/>
      <c r="Q681" s="126">
        <f aca="true" t="shared" si="68" ref="Q681:S682">Q682</f>
        <v>168.3</v>
      </c>
      <c r="R681" s="126">
        <f t="shared" si="68"/>
        <v>138.79999999999998</v>
      </c>
      <c r="S681" s="126">
        <f t="shared" si="68"/>
        <v>127.8</v>
      </c>
    </row>
    <row r="682" spans="8:19" ht="18.75">
      <c r="H682" s="2" t="s">
        <v>60</v>
      </c>
      <c r="I682" s="267"/>
      <c r="J682" s="4">
        <v>7</v>
      </c>
      <c r="K682" s="11">
        <v>9</v>
      </c>
      <c r="L682" s="57" t="s">
        <v>221</v>
      </c>
      <c r="M682" s="58" t="s">
        <v>220</v>
      </c>
      <c r="N682" s="58" t="s">
        <v>232</v>
      </c>
      <c r="O682" s="58" t="s">
        <v>264</v>
      </c>
      <c r="P682" s="3"/>
      <c r="Q682" s="126">
        <f t="shared" si="68"/>
        <v>168.3</v>
      </c>
      <c r="R682" s="126">
        <f t="shared" si="68"/>
        <v>138.79999999999998</v>
      </c>
      <c r="S682" s="126">
        <f t="shared" si="68"/>
        <v>127.8</v>
      </c>
    </row>
    <row r="683" spans="8:19" ht="18.75">
      <c r="H683" s="2" t="s">
        <v>299</v>
      </c>
      <c r="I683" s="265"/>
      <c r="J683" s="4">
        <v>7</v>
      </c>
      <c r="K683" s="11">
        <v>9</v>
      </c>
      <c r="L683" s="57" t="s">
        <v>221</v>
      </c>
      <c r="M683" s="58" t="s">
        <v>220</v>
      </c>
      <c r="N683" s="58" t="s">
        <v>232</v>
      </c>
      <c r="O683" s="58" t="s">
        <v>264</v>
      </c>
      <c r="P683" s="3">
        <v>240</v>
      </c>
      <c r="Q683" s="126">
        <f>'приложение 5'!Q840</f>
        <v>168.3</v>
      </c>
      <c r="R683" s="126">
        <f>'приложение 5'!R840</f>
        <v>138.79999999999998</v>
      </c>
      <c r="S683" s="126">
        <f>'приложение 5'!S840</f>
        <v>127.8</v>
      </c>
    </row>
    <row r="684" spans="8:19" ht="31.5">
      <c r="H684" s="2" t="s">
        <v>2</v>
      </c>
      <c r="I684" s="267"/>
      <c r="J684" s="4">
        <v>7</v>
      </c>
      <c r="K684" s="11">
        <v>9</v>
      </c>
      <c r="L684" s="57" t="s">
        <v>221</v>
      </c>
      <c r="M684" s="58" t="s">
        <v>220</v>
      </c>
      <c r="N684" s="58" t="s">
        <v>223</v>
      </c>
      <c r="O684" s="58" t="s">
        <v>261</v>
      </c>
      <c r="P684" s="3"/>
      <c r="Q684" s="126">
        <f>Q685</f>
        <v>310.4</v>
      </c>
      <c r="R684" s="126">
        <f>R685</f>
        <v>400</v>
      </c>
      <c r="S684" s="126">
        <f>S685</f>
        <v>400</v>
      </c>
    </row>
    <row r="685" spans="8:19" ht="18.75">
      <c r="H685" s="2" t="s">
        <v>60</v>
      </c>
      <c r="I685" s="267"/>
      <c r="J685" s="4">
        <v>7</v>
      </c>
      <c r="K685" s="11">
        <v>9</v>
      </c>
      <c r="L685" s="57" t="s">
        <v>221</v>
      </c>
      <c r="M685" s="58" t="s">
        <v>220</v>
      </c>
      <c r="N685" s="58" t="s">
        <v>223</v>
      </c>
      <c r="O685" s="58" t="s">
        <v>264</v>
      </c>
      <c r="P685" s="3"/>
      <c r="Q685" s="126">
        <f>Q686+Q687</f>
        <v>310.4</v>
      </c>
      <c r="R685" s="126">
        <f>R686+R687</f>
        <v>400</v>
      </c>
      <c r="S685" s="126">
        <f>S686+S687</f>
        <v>400</v>
      </c>
    </row>
    <row r="686" spans="8:19" ht="18.75">
      <c r="H686" s="2" t="s">
        <v>299</v>
      </c>
      <c r="I686" s="267"/>
      <c r="J686" s="4">
        <v>7</v>
      </c>
      <c r="K686" s="11">
        <v>9</v>
      </c>
      <c r="L686" s="57" t="s">
        <v>221</v>
      </c>
      <c r="M686" s="58" t="s">
        <v>220</v>
      </c>
      <c r="N686" s="58" t="s">
        <v>223</v>
      </c>
      <c r="O686" s="58" t="s">
        <v>264</v>
      </c>
      <c r="P686" s="3">
        <v>240</v>
      </c>
      <c r="Q686" s="126">
        <f>'приложение 5'!Q843</f>
        <v>310.4</v>
      </c>
      <c r="R686" s="126">
        <f>'приложение 5'!R843</f>
        <v>400</v>
      </c>
      <c r="S686" s="126">
        <f>'приложение 5'!S843</f>
        <v>400</v>
      </c>
    </row>
    <row r="687" spans="8:19" ht="18.75" hidden="1">
      <c r="H687" s="2" t="s">
        <v>304</v>
      </c>
      <c r="I687" s="265"/>
      <c r="J687" s="4">
        <v>7</v>
      </c>
      <c r="K687" s="11">
        <v>9</v>
      </c>
      <c r="L687" s="57" t="s">
        <v>221</v>
      </c>
      <c r="M687" s="58" t="s">
        <v>220</v>
      </c>
      <c r="N687" s="58" t="s">
        <v>223</v>
      </c>
      <c r="O687" s="58" t="s">
        <v>264</v>
      </c>
      <c r="P687" s="3">
        <v>320</v>
      </c>
      <c r="Q687" s="126">
        <f>'приложение 5'!Q844</f>
        <v>0</v>
      </c>
      <c r="R687" s="126">
        <f>'приложение 5'!R844</f>
        <v>0</v>
      </c>
      <c r="S687" s="126">
        <f>'приложение 5'!S844</f>
        <v>0</v>
      </c>
    </row>
    <row r="688" spans="8:19" ht="31.5">
      <c r="H688" s="2" t="s">
        <v>581</v>
      </c>
      <c r="I688" s="267"/>
      <c r="J688" s="4">
        <v>7</v>
      </c>
      <c r="K688" s="11">
        <v>9</v>
      </c>
      <c r="L688" s="57" t="s">
        <v>232</v>
      </c>
      <c r="M688" s="58" t="s">
        <v>220</v>
      </c>
      <c r="N688" s="58" t="s">
        <v>229</v>
      </c>
      <c r="O688" s="58" t="s">
        <v>261</v>
      </c>
      <c r="P688" s="3"/>
      <c r="Q688" s="126">
        <f>Q689+Q694+Q707+Q711+Q723+Q730+Q733+Q714</f>
        <v>34017.4</v>
      </c>
      <c r="R688" s="126">
        <f>R689+R694+R707+R711+R723+R730+R733+R714</f>
        <v>27063.2</v>
      </c>
      <c r="S688" s="126">
        <f>S689+S694+S707+S711+S723+S730+S733+S714</f>
        <v>58373.200000000004</v>
      </c>
    </row>
    <row r="689" spans="8:19" ht="18.75">
      <c r="H689" s="2" t="s">
        <v>270</v>
      </c>
      <c r="I689" s="263"/>
      <c r="J689" s="4">
        <v>7</v>
      </c>
      <c r="K689" s="11">
        <v>9</v>
      </c>
      <c r="L689" s="57" t="s">
        <v>232</v>
      </c>
      <c r="M689" s="58" t="s">
        <v>220</v>
      </c>
      <c r="N689" s="58" t="s">
        <v>221</v>
      </c>
      <c r="O689" s="58" t="s">
        <v>261</v>
      </c>
      <c r="P689" s="3"/>
      <c r="Q689" s="126">
        <f>Q690+Q692</f>
        <v>619.6999999999999</v>
      </c>
      <c r="R689" s="126">
        <f>R690+R692</f>
        <v>485.7</v>
      </c>
      <c r="S689" s="126">
        <f>S690+S692</f>
        <v>485.7</v>
      </c>
    </row>
    <row r="690" spans="8:19" ht="18.75">
      <c r="H690" s="2" t="s">
        <v>60</v>
      </c>
      <c r="I690" s="267"/>
      <c r="J690" s="4">
        <v>7</v>
      </c>
      <c r="K690" s="11">
        <v>9</v>
      </c>
      <c r="L690" s="57" t="s">
        <v>232</v>
      </c>
      <c r="M690" s="58" t="s">
        <v>220</v>
      </c>
      <c r="N690" s="58" t="s">
        <v>221</v>
      </c>
      <c r="O690" s="58" t="s">
        <v>264</v>
      </c>
      <c r="P690" s="3"/>
      <c r="Q690" s="126">
        <f>Q691</f>
        <v>153.99999999999997</v>
      </c>
      <c r="R690" s="126">
        <f>R691</f>
        <v>20</v>
      </c>
      <c r="S690" s="126">
        <f>S691</f>
        <v>20</v>
      </c>
    </row>
    <row r="691" spans="8:19" ht="18.75">
      <c r="H691" s="2" t="s">
        <v>299</v>
      </c>
      <c r="I691" s="265"/>
      <c r="J691" s="4">
        <v>7</v>
      </c>
      <c r="K691" s="11">
        <v>9</v>
      </c>
      <c r="L691" s="57" t="s">
        <v>232</v>
      </c>
      <c r="M691" s="58" t="s">
        <v>220</v>
      </c>
      <c r="N691" s="58" t="s">
        <v>221</v>
      </c>
      <c r="O691" s="58" t="s">
        <v>264</v>
      </c>
      <c r="P691" s="3">
        <v>240</v>
      </c>
      <c r="Q691" s="126">
        <f>'приложение 5'!Q848</f>
        <v>153.99999999999997</v>
      </c>
      <c r="R691" s="126">
        <f>'приложение 5'!R848</f>
        <v>20</v>
      </c>
      <c r="S691" s="126">
        <f>'приложение 5'!S848</f>
        <v>20</v>
      </c>
    </row>
    <row r="692" spans="8:19" ht="18.75">
      <c r="H692" s="2" t="str">
        <f>'приложение 5'!H849</f>
        <v>Расходы на обеспечение питанием обучающихся с ОВЗ</v>
      </c>
      <c r="I692" s="267">
        <f>'приложение 5'!I849</f>
        <v>672</v>
      </c>
      <c r="J692" s="4">
        <f>'приложение 5'!J849</f>
        <v>7</v>
      </c>
      <c r="K692" s="11">
        <f>'приложение 5'!K849</f>
        <v>9</v>
      </c>
      <c r="L692" s="57" t="str">
        <f>'приложение 5'!L849</f>
        <v>04</v>
      </c>
      <c r="M692" s="58" t="str">
        <f>'приложение 5'!M849</f>
        <v>0</v>
      </c>
      <c r="N692" s="58" t="str">
        <f>'приложение 5'!N849</f>
        <v>01</v>
      </c>
      <c r="O692" s="58" t="str">
        <f>'приложение 5'!O849</f>
        <v>S1490</v>
      </c>
      <c r="P692" s="3" t="s">
        <v>262</v>
      </c>
      <c r="Q692" s="126">
        <f>'приложение 5'!Q849</f>
        <v>465.7</v>
      </c>
      <c r="R692" s="126">
        <f>'приложение 5'!R849</f>
        <v>465.7</v>
      </c>
      <c r="S692" s="126">
        <f>'приложение 5'!S849</f>
        <v>465.7</v>
      </c>
    </row>
    <row r="693" spans="8:19" ht="18.75">
      <c r="H693" s="2" t="str">
        <f>'приложение 5'!H850</f>
        <v>Субсидии бюджетным учреждениям</v>
      </c>
      <c r="I693" s="267">
        <f>'приложение 5'!I850</f>
        <v>672</v>
      </c>
      <c r="J693" s="4">
        <f>'приложение 5'!J850</f>
        <v>7</v>
      </c>
      <c r="K693" s="11">
        <f>'приложение 5'!K850</f>
        <v>9</v>
      </c>
      <c r="L693" s="57" t="str">
        <f>'приложение 5'!L850</f>
        <v>04</v>
      </c>
      <c r="M693" s="58" t="str">
        <f>'приложение 5'!M850</f>
        <v>0</v>
      </c>
      <c r="N693" s="58" t="str">
        <f>'приложение 5'!N850</f>
        <v>01</v>
      </c>
      <c r="O693" s="58" t="str">
        <f>'приложение 5'!O850</f>
        <v>S1490</v>
      </c>
      <c r="P693" s="3">
        <f>'приложение 5'!P850</f>
        <v>610</v>
      </c>
      <c r="Q693" s="126">
        <f>'приложение 5'!Q850</f>
        <v>465.7</v>
      </c>
      <c r="R693" s="126">
        <f>'приложение 5'!R850</f>
        <v>465.7</v>
      </c>
      <c r="S693" s="126">
        <f>'приложение 5'!S850</f>
        <v>465.7</v>
      </c>
    </row>
    <row r="694" spans="8:19" ht="18.75">
      <c r="H694" s="2" t="s">
        <v>271</v>
      </c>
      <c r="I694" s="267"/>
      <c r="J694" s="4">
        <v>7</v>
      </c>
      <c r="K694" s="11">
        <v>9</v>
      </c>
      <c r="L694" s="57" t="s">
        <v>232</v>
      </c>
      <c r="M694" s="58" t="s">
        <v>220</v>
      </c>
      <c r="N694" s="58" t="s">
        <v>236</v>
      </c>
      <c r="O694" s="58" t="s">
        <v>261</v>
      </c>
      <c r="P694" s="3"/>
      <c r="Q694" s="126">
        <f>Q695+Q699+Q705+Q703+Q697</f>
        <v>15080.6</v>
      </c>
      <c r="R694" s="126">
        <f>R695+R699+R705+R703+R697</f>
        <v>14106.1</v>
      </c>
      <c r="S694" s="126">
        <f>S695+S699+S705+S703+S697</f>
        <v>14095.6</v>
      </c>
    </row>
    <row r="695" spans="8:19" ht="18.75">
      <c r="H695" s="2" t="s">
        <v>60</v>
      </c>
      <c r="I695" s="267"/>
      <c r="J695" s="4">
        <v>7</v>
      </c>
      <c r="K695" s="11">
        <v>9</v>
      </c>
      <c r="L695" s="57" t="s">
        <v>232</v>
      </c>
      <c r="M695" s="58" t="s">
        <v>220</v>
      </c>
      <c r="N695" s="58" t="s">
        <v>236</v>
      </c>
      <c r="O695" s="58" t="s">
        <v>264</v>
      </c>
      <c r="P695" s="3"/>
      <c r="Q695" s="126">
        <f>Q696</f>
        <v>190.2</v>
      </c>
      <c r="R695" s="126">
        <f>R696</f>
        <v>120.5</v>
      </c>
      <c r="S695" s="126">
        <f>S696</f>
        <v>110</v>
      </c>
    </row>
    <row r="696" spans="8:19" ht="18.75">
      <c r="H696" s="2" t="s">
        <v>299</v>
      </c>
      <c r="I696" s="265"/>
      <c r="J696" s="4">
        <v>7</v>
      </c>
      <c r="K696" s="11">
        <v>9</v>
      </c>
      <c r="L696" s="57" t="s">
        <v>232</v>
      </c>
      <c r="M696" s="58" t="s">
        <v>220</v>
      </c>
      <c r="N696" s="58" t="s">
        <v>236</v>
      </c>
      <c r="O696" s="58" t="s">
        <v>264</v>
      </c>
      <c r="P696" s="3">
        <v>240</v>
      </c>
      <c r="Q696" s="126">
        <f>'приложение 5'!Q853</f>
        <v>190.2</v>
      </c>
      <c r="R696" s="126">
        <f>'приложение 5'!R853</f>
        <v>120.5</v>
      </c>
      <c r="S696" s="126">
        <f>'приложение 5'!S853</f>
        <v>110</v>
      </c>
    </row>
    <row r="697" spans="8:19" ht="31.5">
      <c r="H697" s="2" t="str">
        <f>'приложение 5'!H854</f>
        <v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v>
      </c>
      <c r="I697" s="267">
        <f>'приложение 5'!I854</f>
        <v>672</v>
      </c>
      <c r="J697" s="4">
        <f>'приложение 5'!J854</f>
        <v>7</v>
      </c>
      <c r="K697" s="11">
        <f>'приложение 5'!K854</f>
        <v>9</v>
      </c>
      <c r="L697" s="57" t="str">
        <f>'приложение 5'!L854</f>
        <v>04</v>
      </c>
      <c r="M697" s="58" t="str">
        <f>'приложение 5'!M854</f>
        <v>0</v>
      </c>
      <c r="N697" s="58" t="str">
        <f>'приложение 5'!N854</f>
        <v>02</v>
      </c>
      <c r="O697" s="58" t="str">
        <f>'приложение 5'!O854</f>
        <v>72010</v>
      </c>
      <c r="P697" s="3" t="s">
        <v>262</v>
      </c>
      <c r="Q697" s="126">
        <f>'приложение 5'!Q854</f>
        <v>3209.7999999999997</v>
      </c>
      <c r="R697" s="126">
        <f>'приложение 5'!R854</f>
        <v>2305</v>
      </c>
      <c r="S697" s="126">
        <f>'приложение 5'!S854</f>
        <v>2305</v>
      </c>
    </row>
    <row r="698" spans="8:19" ht="18.75">
      <c r="H698" s="2" t="str">
        <f>'приложение 5'!H855</f>
        <v>Иные закупки товаров, работ и услуг для обеспечения государственных (муниципальных) нужд</v>
      </c>
      <c r="I698" s="267">
        <f>'приложение 5'!I855</f>
        <v>672</v>
      </c>
      <c r="J698" s="4">
        <f>'приложение 5'!J855</f>
        <v>7</v>
      </c>
      <c r="K698" s="11">
        <f>'приложение 5'!K855</f>
        <v>9</v>
      </c>
      <c r="L698" s="57" t="str">
        <f>'приложение 5'!L855</f>
        <v>04</v>
      </c>
      <c r="M698" s="58" t="str">
        <f>'приложение 5'!M855</f>
        <v>0</v>
      </c>
      <c r="N698" s="58" t="str">
        <f>'приложение 5'!N855</f>
        <v>02</v>
      </c>
      <c r="O698" s="58" t="str">
        <f>'приложение 5'!O855</f>
        <v>72010</v>
      </c>
      <c r="P698" s="3">
        <f>'приложение 5'!P855</f>
        <v>240</v>
      </c>
      <c r="Q698" s="126">
        <f>'приложение 5'!Q855</f>
        <v>3209.7999999999997</v>
      </c>
      <c r="R698" s="126">
        <f>'приложение 5'!R855</f>
        <v>2305</v>
      </c>
      <c r="S698" s="126">
        <f>'приложение 5'!S855</f>
        <v>2305</v>
      </c>
    </row>
    <row r="699" spans="8:19" ht="47.25">
      <c r="H699" s="2" t="s">
        <v>52</v>
      </c>
      <c r="I699" s="267"/>
      <c r="J699" s="4">
        <v>7</v>
      </c>
      <c r="K699" s="11">
        <v>9</v>
      </c>
      <c r="L699" s="57" t="s">
        <v>232</v>
      </c>
      <c r="M699" s="58" t="s">
        <v>220</v>
      </c>
      <c r="N699" s="58" t="s">
        <v>236</v>
      </c>
      <c r="O699" s="58" t="s">
        <v>51</v>
      </c>
      <c r="P699" s="3"/>
      <c r="Q699" s="126">
        <f>Q700+Q701+Q702</f>
        <v>8426.3</v>
      </c>
      <c r="R699" s="126">
        <f>R700+R701+R702</f>
        <v>8426.3</v>
      </c>
      <c r="S699" s="126">
        <f>S700+S701+S702</f>
        <v>8426.3</v>
      </c>
    </row>
    <row r="700" spans="8:19" ht="18.75">
      <c r="H700" s="2" t="s">
        <v>299</v>
      </c>
      <c r="I700" s="265"/>
      <c r="J700" s="4">
        <v>7</v>
      </c>
      <c r="K700" s="11">
        <v>9</v>
      </c>
      <c r="L700" s="57" t="s">
        <v>232</v>
      </c>
      <c r="M700" s="58" t="s">
        <v>220</v>
      </c>
      <c r="N700" s="58" t="s">
        <v>236</v>
      </c>
      <c r="O700" s="58" t="s">
        <v>51</v>
      </c>
      <c r="P700" s="3">
        <v>240</v>
      </c>
      <c r="Q700" s="126">
        <f>'приложение 5'!Q857</f>
        <v>29.3</v>
      </c>
      <c r="R700" s="126">
        <f>'приложение 5'!R857</f>
        <v>29.3</v>
      </c>
      <c r="S700" s="126">
        <f>'приложение 5'!S857</f>
        <v>29.3</v>
      </c>
    </row>
    <row r="701" spans="8:19" ht="18.75">
      <c r="H701" s="2" t="s">
        <v>304</v>
      </c>
      <c r="I701" s="265"/>
      <c r="J701" s="4">
        <v>7</v>
      </c>
      <c r="K701" s="11">
        <v>9</v>
      </c>
      <c r="L701" s="57" t="s">
        <v>232</v>
      </c>
      <c r="M701" s="58" t="s">
        <v>220</v>
      </c>
      <c r="N701" s="58" t="s">
        <v>236</v>
      </c>
      <c r="O701" s="58" t="s">
        <v>51</v>
      </c>
      <c r="P701" s="3">
        <v>320</v>
      </c>
      <c r="Q701" s="126">
        <f>'приложение 5'!Q858</f>
        <v>2276.2</v>
      </c>
      <c r="R701" s="126">
        <f>'приложение 5'!R858</f>
        <v>2276.2</v>
      </c>
      <c r="S701" s="126">
        <f>'приложение 5'!S858</f>
        <v>2276.2</v>
      </c>
    </row>
    <row r="702" spans="8:19" ht="18.75">
      <c r="H702" s="2" t="s">
        <v>301</v>
      </c>
      <c r="I702" s="267"/>
      <c r="J702" s="4">
        <v>7</v>
      </c>
      <c r="K702" s="11">
        <v>9</v>
      </c>
      <c r="L702" s="57" t="s">
        <v>232</v>
      </c>
      <c r="M702" s="58" t="s">
        <v>220</v>
      </c>
      <c r="N702" s="58" t="s">
        <v>236</v>
      </c>
      <c r="O702" s="58" t="s">
        <v>51</v>
      </c>
      <c r="P702" s="3">
        <v>610</v>
      </c>
      <c r="Q702" s="126">
        <f>'приложение 5'!Q859</f>
        <v>6120.8</v>
      </c>
      <c r="R702" s="126">
        <f>'приложение 5'!R859</f>
        <v>6120.8</v>
      </c>
      <c r="S702" s="126">
        <f>'приложение 5'!S859</f>
        <v>6120.8</v>
      </c>
    </row>
    <row r="703" spans="8:19" ht="31.5">
      <c r="H703" s="2" t="str">
        <f>'приложение 5'!H860</f>
        <v>Приобретение услуг распределительно-логистического центра на поставки продовольственных товаров для муниципальных образовательных организаций</v>
      </c>
      <c r="I703" s="267">
        <f>'приложение 5'!I860</f>
        <v>672</v>
      </c>
      <c r="J703" s="4">
        <f>'приложение 5'!J860</f>
        <v>7</v>
      </c>
      <c r="K703" s="11">
        <f>'приложение 5'!K860</f>
        <v>9</v>
      </c>
      <c r="L703" s="57" t="str">
        <f>'приложение 5'!L860</f>
        <v>04</v>
      </c>
      <c r="M703" s="58" t="str">
        <f>'приложение 5'!M860</f>
        <v>0</v>
      </c>
      <c r="N703" s="58" t="str">
        <f>'приложение 5'!N860</f>
        <v>02</v>
      </c>
      <c r="O703" s="58" t="str">
        <f>'приложение 5'!O860</f>
        <v>S1460</v>
      </c>
      <c r="P703" s="3" t="s">
        <v>262</v>
      </c>
      <c r="Q703" s="126">
        <f>'приложение 5'!Q860</f>
        <v>989.2</v>
      </c>
      <c r="R703" s="126">
        <f>'приложение 5'!R860</f>
        <v>989.2</v>
      </c>
      <c r="S703" s="126">
        <f>'приложение 5'!S860</f>
        <v>989.2</v>
      </c>
    </row>
    <row r="704" spans="8:19" ht="18.75">
      <c r="H704" s="2" t="str">
        <f>'приложение 5'!H861</f>
        <v>Иные закупки товаров, работ и услуг для обеспечения государственных (муниципальных) нужд</v>
      </c>
      <c r="I704" s="267">
        <f>'приложение 5'!I861</f>
        <v>672</v>
      </c>
      <c r="J704" s="4">
        <f>'приложение 5'!J861</f>
        <v>7</v>
      </c>
      <c r="K704" s="11">
        <f>'приложение 5'!K861</f>
        <v>9</v>
      </c>
      <c r="L704" s="57" t="str">
        <f>'приложение 5'!L861</f>
        <v>04</v>
      </c>
      <c r="M704" s="58" t="str">
        <f>'приложение 5'!M861</f>
        <v>0</v>
      </c>
      <c r="N704" s="58" t="str">
        <f>'приложение 5'!N861</f>
        <v>02</v>
      </c>
      <c r="O704" s="58" t="str">
        <f>'приложение 5'!O861</f>
        <v>S1460</v>
      </c>
      <c r="P704" s="3">
        <f>'приложение 5'!P861</f>
        <v>240</v>
      </c>
      <c r="Q704" s="126">
        <f>'приложение 5'!Q861</f>
        <v>989.2</v>
      </c>
      <c r="R704" s="126">
        <f>'приложение 5'!R861</f>
        <v>989.2</v>
      </c>
      <c r="S704" s="126">
        <f>'приложение 5'!S861</f>
        <v>989.2</v>
      </c>
    </row>
    <row r="705" spans="8:19" ht="18.75">
      <c r="H705" s="2" t="str">
        <f>'приложение 5'!H862</f>
        <v>Расходы на обеспечение питанием обучающихся с ОВЗ</v>
      </c>
      <c r="I705" s="267">
        <f>'приложение 5'!I862</f>
        <v>672</v>
      </c>
      <c r="J705" s="4">
        <f>'приложение 5'!J862</f>
        <v>7</v>
      </c>
      <c r="K705" s="11">
        <f>'приложение 5'!K862</f>
        <v>9</v>
      </c>
      <c r="L705" s="57" t="str">
        <f>'приложение 5'!L862</f>
        <v>04</v>
      </c>
      <c r="M705" s="58" t="str">
        <f>'приложение 5'!M862</f>
        <v>0</v>
      </c>
      <c r="N705" s="58" t="str">
        <f>'приложение 5'!N862</f>
        <v>02</v>
      </c>
      <c r="O705" s="58" t="str">
        <f>'приложение 5'!O862</f>
        <v>S1490</v>
      </c>
      <c r="P705" s="3" t="s">
        <v>262</v>
      </c>
      <c r="Q705" s="126">
        <f>'приложение 5'!Q862</f>
        <v>2265.1</v>
      </c>
      <c r="R705" s="126">
        <f>'приложение 5'!R862</f>
        <v>2265.1</v>
      </c>
      <c r="S705" s="126">
        <f>'приложение 5'!S862</f>
        <v>2265.1</v>
      </c>
    </row>
    <row r="706" spans="8:19" ht="18.75">
      <c r="H706" s="2" t="str">
        <f>'приложение 5'!H863</f>
        <v>Субсидии бюджетным учреждениям</v>
      </c>
      <c r="I706" s="267">
        <f>'приложение 5'!I863</f>
        <v>672</v>
      </c>
      <c r="J706" s="4">
        <f>'приложение 5'!J863</f>
        <v>7</v>
      </c>
      <c r="K706" s="11">
        <f>'приложение 5'!K863</f>
        <v>9</v>
      </c>
      <c r="L706" s="57" t="str">
        <f>'приложение 5'!L863</f>
        <v>04</v>
      </c>
      <c r="M706" s="58" t="str">
        <f>'приложение 5'!M863</f>
        <v>0</v>
      </c>
      <c r="N706" s="58" t="str">
        <f>'приложение 5'!N863</f>
        <v>02</v>
      </c>
      <c r="O706" s="58" t="str">
        <f>'приложение 5'!O863</f>
        <v>S1490</v>
      </c>
      <c r="P706" s="3">
        <f>'приложение 5'!P863</f>
        <v>610</v>
      </c>
      <c r="Q706" s="126">
        <f>'приложение 5'!Q863</f>
        <v>2265.1</v>
      </c>
      <c r="R706" s="126">
        <f>'приложение 5'!R863</f>
        <v>2265.1</v>
      </c>
      <c r="S706" s="126">
        <f>'приложение 5'!S863</f>
        <v>2265.1</v>
      </c>
    </row>
    <row r="707" spans="8:19" ht="18.75">
      <c r="H707" s="2" t="s">
        <v>582</v>
      </c>
      <c r="I707" s="267"/>
      <c r="J707" s="4">
        <v>7</v>
      </c>
      <c r="K707" s="11">
        <v>9</v>
      </c>
      <c r="L707" s="57" t="s">
        <v>232</v>
      </c>
      <c r="M707" s="58" t="s">
        <v>220</v>
      </c>
      <c r="N707" s="58" t="s">
        <v>237</v>
      </c>
      <c r="O707" s="58" t="s">
        <v>261</v>
      </c>
      <c r="P707" s="3"/>
      <c r="Q707" s="126">
        <f>Q708</f>
        <v>1145.0000000000005</v>
      </c>
      <c r="R707" s="126">
        <f>R708</f>
        <v>4446</v>
      </c>
      <c r="S707" s="126">
        <f>S708</f>
        <v>4436</v>
      </c>
    </row>
    <row r="708" spans="8:19" ht="18.75">
      <c r="H708" s="2" t="s">
        <v>60</v>
      </c>
      <c r="I708" s="267"/>
      <c r="J708" s="4">
        <v>7</v>
      </c>
      <c r="K708" s="11">
        <v>9</v>
      </c>
      <c r="L708" s="57" t="s">
        <v>232</v>
      </c>
      <c r="M708" s="58" t="s">
        <v>220</v>
      </c>
      <c r="N708" s="58" t="s">
        <v>237</v>
      </c>
      <c r="O708" s="58" t="s">
        <v>264</v>
      </c>
      <c r="P708" s="3"/>
      <c r="Q708" s="126">
        <f>Q709+Q710</f>
        <v>1145.0000000000005</v>
      </c>
      <c r="R708" s="126">
        <f>R709+R710</f>
        <v>4446</v>
      </c>
      <c r="S708" s="126">
        <f>S709+S710</f>
        <v>4436</v>
      </c>
    </row>
    <row r="709" spans="8:19" ht="18.75">
      <c r="H709" s="2" t="s">
        <v>299</v>
      </c>
      <c r="I709" s="265"/>
      <c r="J709" s="4">
        <v>7</v>
      </c>
      <c r="K709" s="11">
        <v>9</v>
      </c>
      <c r="L709" s="57" t="s">
        <v>232</v>
      </c>
      <c r="M709" s="58" t="s">
        <v>220</v>
      </c>
      <c r="N709" s="58" t="s">
        <v>237</v>
      </c>
      <c r="O709" s="58" t="s">
        <v>264</v>
      </c>
      <c r="P709" s="3">
        <v>240</v>
      </c>
      <c r="Q709" s="126">
        <f>'приложение 5'!Q866</f>
        <v>256.6</v>
      </c>
      <c r="R709" s="126">
        <f>'приложение 5'!R866</f>
        <v>300</v>
      </c>
      <c r="S709" s="126">
        <f>'приложение 5'!S866</f>
        <v>290</v>
      </c>
    </row>
    <row r="710" spans="8:19" ht="31.5">
      <c r="H710" s="2" t="s">
        <v>449</v>
      </c>
      <c r="I710" s="267"/>
      <c r="J710" s="4">
        <v>7</v>
      </c>
      <c r="K710" s="11">
        <v>9</v>
      </c>
      <c r="L710" s="57" t="s">
        <v>232</v>
      </c>
      <c r="M710" s="58" t="s">
        <v>220</v>
      </c>
      <c r="N710" s="58" t="s">
        <v>237</v>
      </c>
      <c r="O710" s="58" t="s">
        <v>264</v>
      </c>
      <c r="P710" s="3">
        <v>630</v>
      </c>
      <c r="Q710" s="126">
        <f>'приложение 5'!Q867</f>
        <v>888.4000000000005</v>
      </c>
      <c r="R710" s="126">
        <f>'приложение 5'!R867</f>
        <v>4146</v>
      </c>
      <c r="S710" s="126">
        <f>'приложение 5'!S867</f>
        <v>4146</v>
      </c>
    </row>
    <row r="711" spans="8:19" ht="18.75">
      <c r="H711" s="2" t="s">
        <v>584</v>
      </c>
      <c r="I711" s="267"/>
      <c r="J711" s="4">
        <v>7</v>
      </c>
      <c r="K711" s="11">
        <v>9</v>
      </c>
      <c r="L711" s="57" t="s">
        <v>232</v>
      </c>
      <c r="M711" s="58" t="s">
        <v>220</v>
      </c>
      <c r="N711" s="58" t="s">
        <v>232</v>
      </c>
      <c r="O711" s="58" t="s">
        <v>261</v>
      </c>
      <c r="P711" s="3"/>
      <c r="Q711" s="126">
        <f aca="true" t="shared" si="69" ref="Q711:S712">Q712</f>
        <v>52.4</v>
      </c>
      <c r="R711" s="126">
        <f t="shared" si="69"/>
        <v>60</v>
      </c>
      <c r="S711" s="126">
        <f t="shared" si="69"/>
        <v>60</v>
      </c>
    </row>
    <row r="712" spans="8:19" ht="18.75">
      <c r="H712" s="2" t="s">
        <v>60</v>
      </c>
      <c r="I712" s="267"/>
      <c r="J712" s="4">
        <v>7</v>
      </c>
      <c r="K712" s="11">
        <v>9</v>
      </c>
      <c r="L712" s="57" t="s">
        <v>232</v>
      </c>
      <c r="M712" s="58" t="s">
        <v>220</v>
      </c>
      <c r="N712" s="58" t="s">
        <v>232</v>
      </c>
      <c r="O712" s="58" t="s">
        <v>264</v>
      </c>
      <c r="P712" s="3"/>
      <c r="Q712" s="126">
        <f t="shared" si="69"/>
        <v>52.4</v>
      </c>
      <c r="R712" s="126">
        <f t="shared" si="69"/>
        <v>60</v>
      </c>
      <c r="S712" s="126">
        <f t="shared" si="69"/>
        <v>60</v>
      </c>
    </row>
    <row r="713" spans="8:19" ht="18.75">
      <c r="H713" s="2" t="s">
        <v>299</v>
      </c>
      <c r="I713" s="265"/>
      <c r="J713" s="4">
        <v>7</v>
      </c>
      <c r="K713" s="11">
        <v>9</v>
      </c>
      <c r="L713" s="57" t="s">
        <v>232</v>
      </c>
      <c r="M713" s="58" t="s">
        <v>220</v>
      </c>
      <c r="N713" s="58" t="s">
        <v>232</v>
      </c>
      <c r="O713" s="58" t="s">
        <v>264</v>
      </c>
      <c r="P713" s="3">
        <v>240</v>
      </c>
      <c r="Q713" s="126">
        <f>'приложение 5'!Q870</f>
        <v>52.4</v>
      </c>
      <c r="R713" s="126">
        <f>'приложение 5'!R870</f>
        <v>60</v>
      </c>
      <c r="S713" s="126">
        <f>'приложение 5'!S870</f>
        <v>60</v>
      </c>
    </row>
    <row r="714" spans="8:19" ht="18.75">
      <c r="H714" s="2" t="s">
        <v>839</v>
      </c>
      <c r="I714" s="267"/>
      <c r="J714" s="4">
        <v>7</v>
      </c>
      <c r="K714" s="11">
        <v>9</v>
      </c>
      <c r="L714" s="57" t="s">
        <v>232</v>
      </c>
      <c r="M714" s="58" t="s">
        <v>220</v>
      </c>
      <c r="N714" s="58" t="s">
        <v>223</v>
      </c>
      <c r="O714" s="58" t="s">
        <v>261</v>
      </c>
      <c r="P714" s="3"/>
      <c r="Q714" s="126">
        <f>Q715+Q719+Q721+Q717</f>
        <v>1831.6000000000001</v>
      </c>
      <c r="R714" s="126">
        <f>R715+R719+R721+R717</f>
        <v>2743.6</v>
      </c>
      <c r="S714" s="126">
        <f>S715+S719+S721+S717</f>
        <v>34246</v>
      </c>
    </row>
    <row r="715" spans="8:19" ht="18.75" hidden="1">
      <c r="H715" s="2" t="s">
        <v>60</v>
      </c>
      <c r="I715" s="267"/>
      <c r="J715" s="4">
        <v>7</v>
      </c>
      <c r="K715" s="11">
        <v>9</v>
      </c>
      <c r="L715" s="57" t="s">
        <v>232</v>
      </c>
      <c r="M715" s="58" t="s">
        <v>220</v>
      </c>
      <c r="N715" s="58" t="s">
        <v>223</v>
      </c>
      <c r="O715" s="58" t="s">
        <v>264</v>
      </c>
      <c r="P715" s="3"/>
      <c r="Q715" s="126">
        <f>Q716</f>
        <v>0</v>
      </c>
      <c r="R715" s="126">
        <f>R716</f>
        <v>0</v>
      </c>
      <c r="S715" s="126">
        <f>S716</f>
        <v>0</v>
      </c>
    </row>
    <row r="716" spans="8:19" ht="18.75" hidden="1">
      <c r="H716" s="2" t="s">
        <v>299</v>
      </c>
      <c r="I716" s="267"/>
      <c r="J716" s="4">
        <v>7</v>
      </c>
      <c r="K716" s="11">
        <v>9</v>
      </c>
      <c r="L716" s="57" t="s">
        <v>232</v>
      </c>
      <c r="M716" s="58" t="s">
        <v>220</v>
      </c>
      <c r="N716" s="58" t="s">
        <v>223</v>
      </c>
      <c r="O716" s="58" t="s">
        <v>264</v>
      </c>
      <c r="P716" s="3">
        <v>240</v>
      </c>
      <c r="Q716" s="126">
        <f>'приложение 5'!Q873</f>
        <v>0</v>
      </c>
      <c r="R716" s="126">
        <f>'приложение 5'!R873</f>
        <v>0</v>
      </c>
      <c r="S716" s="126">
        <f>'приложение 5'!S873</f>
        <v>0</v>
      </c>
    </row>
    <row r="717" spans="8:19" ht="18.75">
      <c r="H717" s="2" t="s">
        <v>1069</v>
      </c>
      <c r="I717" s="267"/>
      <c r="J717" s="4">
        <v>7</v>
      </c>
      <c r="K717" s="11">
        <v>2</v>
      </c>
      <c r="L717" s="57" t="s">
        <v>232</v>
      </c>
      <c r="M717" s="58" t="s">
        <v>220</v>
      </c>
      <c r="N717" s="58" t="s">
        <v>223</v>
      </c>
      <c r="O717" s="58" t="s">
        <v>1070</v>
      </c>
      <c r="P717" s="3"/>
      <c r="Q717" s="126">
        <f>Q718</f>
        <v>1831.6000000000001</v>
      </c>
      <c r="R717" s="126">
        <f>R718</f>
        <v>2743.6</v>
      </c>
      <c r="S717" s="126">
        <f>S718</f>
        <v>3967.4</v>
      </c>
    </row>
    <row r="718" spans="8:19" ht="18.75">
      <c r="H718" s="2" t="s">
        <v>301</v>
      </c>
      <c r="I718" s="267"/>
      <c r="J718" s="4">
        <v>7</v>
      </c>
      <c r="K718" s="11">
        <v>2</v>
      </c>
      <c r="L718" s="57" t="s">
        <v>232</v>
      </c>
      <c r="M718" s="58" t="s">
        <v>220</v>
      </c>
      <c r="N718" s="58" t="s">
        <v>223</v>
      </c>
      <c r="O718" s="58" t="s">
        <v>1070</v>
      </c>
      <c r="P718" s="3">
        <v>610</v>
      </c>
      <c r="Q718" s="126">
        <f>'приложение 5'!Q875</f>
        <v>1831.6000000000001</v>
      </c>
      <c r="R718" s="126">
        <f>'приложение 5'!R875</f>
        <v>2743.6</v>
      </c>
      <c r="S718" s="126">
        <f>'приложение 5'!S875</f>
        <v>3967.4</v>
      </c>
    </row>
    <row r="719" spans="8:19" ht="18.75">
      <c r="H719" s="2" t="s">
        <v>1022</v>
      </c>
      <c r="I719" s="267"/>
      <c r="J719" s="4">
        <v>7</v>
      </c>
      <c r="K719" s="11">
        <v>9</v>
      </c>
      <c r="L719" s="57" t="s">
        <v>232</v>
      </c>
      <c r="M719" s="58" t="s">
        <v>220</v>
      </c>
      <c r="N719" s="58" t="s">
        <v>223</v>
      </c>
      <c r="O719" s="58" t="s">
        <v>1032</v>
      </c>
      <c r="P719" s="3"/>
      <c r="Q719" s="126">
        <f>Q720</f>
        <v>0</v>
      </c>
      <c r="R719" s="126">
        <f>R720</f>
        <v>0</v>
      </c>
      <c r="S719" s="126">
        <f>S720</f>
        <v>17199.1</v>
      </c>
    </row>
    <row r="720" spans="8:19" ht="18.75">
      <c r="H720" s="2" t="s">
        <v>299</v>
      </c>
      <c r="I720" s="267"/>
      <c r="J720" s="4">
        <v>7</v>
      </c>
      <c r="K720" s="11">
        <v>9</v>
      </c>
      <c r="L720" s="57" t="s">
        <v>232</v>
      </c>
      <c r="M720" s="58" t="s">
        <v>220</v>
      </c>
      <c r="N720" s="58" t="s">
        <v>223</v>
      </c>
      <c r="O720" s="58" t="s">
        <v>1032</v>
      </c>
      <c r="P720" s="3">
        <v>240</v>
      </c>
      <c r="Q720" s="126">
        <f>'приложение 5'!Q877</f>
        <v>0</v>
      </c>
      <c r="R720" s="126">
        <f>'приложение 5'!R877</f>
        <v>0</v>
      </c>
      <c r="S720" s="126">
        <f>'приложение 5'!S877</f>
        <v>17199.1</v>
      </c>
    </row>
    <row r="721" spans="8:19" ht="47.25">
      <c r="H721" s="2" t="s">
        <v>1023</v>
      </c>
      <c r="I721" s="267"/>
      <c r="J721" s="4">
        <v>7</v>
      </c>
      <c r="K721" s="11">
        <v>2</v>
      </c>
      <c r="L721" s="57" t="s">
        <v>232</v>
      </c>
      <c r="M721" s="58" t="s">
        <v>220</v>
      </c>
      <c r="N721" s="58" t="s">
        <v>223</v>
      </c>
      <c r="O721" s="58" t="s">
        <v>1021</v>
      </c>
      <c r="P721" s="3"/>
      <c r="Q721" s="126">
        <f>Q722</f>
        <v>0</v>
      </c>
      <c r="R721" s="126">
        <f>R722</f>
        <v>0</v>
      </c>
      <c r="S721" s="126">
        <f>S722</f>
        <v>13079.5</v>
      </c>
    </row>
    <row r="722" spans="8:19" ht="18.75">
      <c r="H722" s="2" t="s">
        <v>301</v>
      </c>
      <c r="I722" s="267"/>
      <c r="J722" s="4">
        <v>7</v>
      </c>
      <c r="K722" s="11">
        <v>2</v>
      </c>
      <c r="L722" s="57" t="s">
        <v>232</v>
      </c>
      <c r="M722" s="58" t="s">
        <v>220</v>
      </c>
      <c r="N722" s="58" t="s">
        <v>223</v>
      </c>
      <c r="O722" s="58" t="s">
        <v>1021</v>
      </c>
      <c r="P722" s="3">
        <v>610</v>
      </c>
      <c r="Q722" s="126">
        <f>'приложение 5'!Q879</f>
        <v>0</v>
      </c>
      <c r="R722" s="126">
        <f>'приложение 5'!R879</f>
        <v>0</v>
      </c>
      <c r="S722" s="126">
        <f>'приложение 5'!S879</f>
        <v>13079.5</v>
      </c>
    </row>
    <row r="723" spans="8:19" ht="18.75">
      <c r="H723" s="2" t="s">
        <v>362</v>
      </c>
      <c r="I723" s="267"/>
      <c r="J723" s="4">
        <v>7</v>
      </c>
      <c r="K723" s="11">
        <v>9</v>
      </c>
      <c r="L723" s="57" t="s">
        <v>232</v>
      </c>
      <c r="M723" s="58" t="s">
        <v>220</v>
      </c>
      <c r="N723" s="58" t="s">
        <v>239</v>
      </c>
      <c r="O723" s="58" t="s">
        <v>261</v>
      </c>
      <c r="P723" s="3"/>
      <c r="Q723" s="126">
        <f>Q724+Q728</f>
        <v>5012.6</v>
      </c>
      <c r="R723" s="126">
        <f>R724+R728</f>
        <v>5221.8</v>
      </c>
      <c r="S723" s="126">
        <f>S724+S728</f>
        <v>5049.9</v>
      </c>
    </row>
    <row r="724" spans="8:19" ht="18.75">
      <c r="H724" s="2" t="s">
        <v>60</v>
      </c>
      <c r="I724" s="301"/>
      <c r="J724" s="4">
        <v>7</v>
      </c>
      <c r="K724" s="11">
        <v>9</v>
      </c>
      <c r="L724" s="57" t="s">
        <v>232</v>
      </c>
      <c r="M724" s="58" t="s">
        <v>220</v>
      </c>
      <c r="N724" s="58" t="s">
        <v>239</v>
      </c>
      <c r="O724" s="58" t="s">
        <v>264</v>
      </c>
      <c r="P724" s="3"/>
      <c r="Q724" s="126">
        <f>Q725+Q726+Q727</f>
        <v>3178.9</v>
      </c>
      <c r="R724" s="126">
        <f>R725+R726</f>
        <v>3388.1</v>
      </c>
      <c r="S724" s="126">
        <f>S725+S726</f>
        <v>3216.2</v>
      </c>
    </row>
    <row r="725" spans="8:19" ht="18.75">
      <c r="H725" s="2" t="s">
        <v>204</v>
      </c>
      <c r="I725" s="263"/>
      <c r="J725" s="4">
        <v>7</v>
      </c>
      <c r="K725" s="11">
        <v>9</v>
      </c>
      <c r="L725" s="57" t="s">
        <v>232</v>
      </c>
      <c r="M725" s="58" t="s">
        <v>220</v>
      </c>
      <c r="N725" s="58" t="s">
        <v>239</v>
      </c>
      <c r="O725" s="58" t="s">
        <v>264</v>
      </c>
      <c r="P725" s="3">
        <v>120</v>
      </c>
      <c r="Q725" s="126">
        <f>'приложение 5'!Q882</f>
        <v>2574</v>
      </c>
      <c r="R725" s="126">
        <f>'приложение 5'!R882</f>
        <v>2716.2</v>
      </c>
      <c r="S725" s="126">
        <f>'приложение 5'!S882</f>
        <v>2716.2</v>
      </c>
    </row>
    <row r="726" spans="8:19" ht="18.75">
      <c r="H726" s="2" t="s">
        <v>299</v>
      </c>
      <c r="I726" s="263"/>
      <c r="J726" s="4">
        <v>7</v>
      </c>
      <c r="K726" s="11">
        <v>9</v>
      </c>
      <c r="L726" s="57" t="s">
        <v>232</v>
      </c>
      <c r="M726" s="58" t="s">
        <v>220</v>
      </c>
      <c r="N726" s="58" t="s">
        <v>239</v>
      </c>
      <c r="O726" s="58" t="s">
        <v>264</v>
      </c>
      <c r="P726" s="3">
        <v>240</v>
      </c>
      <c r="Q726" s="126">
        <f>'приложение 5'!Q883</f>
        <v>601.9</v>
      </c>
      <c r="R726" s="126">
        <f>'приложение 5'!R883</f>
        <v>671.9</v>
      </c>
      <c r="S726" s="126">
        <f>'приложение 5'!S883</f>
        <v>500</v>
      </c>
    </row>
    <row r="727" spans="8:19" ht="18.75">
      <c r="H727" s="2" t="s">
        <v>300</v>
      </c>
      <c r="I727" s="301"/>
      <c r="J727" s="4">
        <v>7</v>
      </c>
      <c r="K727" s="11">
        <v>9</v>
      </c>
      <c r="L727" s="57" t="s">
        <v>232</v>
      </c>
      <c r="M727" s="58" t="s">
        <v>220</v>
      </c>
      <c r="N727" s="58" t="s">
        <v>239</v>
      </c>
      <c r="O727" s="58" t="s">
        <v>264</v>
      </c>
      <c r="P727" s="3">
        <v>850</v>
      </c>
      <c r="Q727" s="126">
        <f>'приложение 5'!Q884</f>
        <v>3</v>
      </c>
      <c r="R727" s="126">
        <f>'приложение 5'!R884</f>
        <v>0</v>
      </c>
      <c r="S727" s="126">
        <f>'приложение 5'!S884</f>
        <v>0</v>
      </c>
    </row>
    <row r="728" spans="8:19" ht="31.5">
      <c r="H728" s="2" t="s">
        <v>374</v>
      </c>
      <c r="I728" s="301"/>
      <c r="J728" s="4">
        <v>7</v>
      </c>
      <c r="K728" s="11">
        <v>9</v>
      </c>
      <c r="L728" s="57" t="s">
        <v>232</v>
      </c>
      <c r="M728" s="58" t="s">
        <v>220</v>
      </c>
      <c r="N728" s="58" t="s">
        <v>239</v>
      </c>
      <c r="O728" s="58" t="s">
        <v>373</v>
      </c>
      <c r="P728" s="3"/>
      <c r="Q728" s="126">
        <f>Q729</f>
        <v>1833.7</v>
      </c>
      <c r="R728" s="126">
        <f>R729</f>
        <v>1833.7</v>
      </c>
      <c r="S728" s="126">
        <f>S729</f>
        <v>1833.7</v>
      </c>
    </row>
    <row r="729" spans="8:19" ht="18.75">
      <c r="H729" s="2" t="s">
        <v>204</v>
      </c>
      <c r="I729" s="263"/>
      <c r="J729" s="4">
        <v>7</v>
      </c>
      <c r="K729" s="11">
        <v>9</v>
      </c>
      <c r="L729" s="57" t="s">
        <v>232</v>
      </c>
      <c r="M729" s="58" t="s">
        <v>220</v>
      </c>
      <c r="N729" s="58" t="s">
        <v>239</v>
      </c>
      <c r="O729" s="58" t="s">
        <v>373</v>
      </c>
      <c r="P729" s="3">
        <v>120</v>
      </c>
      <c r="Q729" s="126">
        <f>'приложение 5'!Q886</f>
        <v>1833.7</v>
      </c>
      <c r="R729" s="126">
        <f>'приложение 5'!R886</f>
        <v>1833.7</v>
      </c>
      <c r="S729" s="126">
        <f>'приложение 5'!S886</f>
        <v>1833.7</v>
      </c>
    </row>
    <row r="730" spans="8:19" ht="18.75">
      <c r="H730" s="2" t="str">
        <f>'приложение 5'!H887</f>
        <v>Основное мероприятие "Реализация регионального проекта "Современная школа"</v>
      </c>
      <c r="I730" s="301">
        <f>'приложение 5'!I887</f>
        <v>672</v>
      </c>
      <c r="J730" s="4">
        <f>'приложение 5'!J887</f>
        <v>7</v>
      </c>
      <c r="K730" s="11">
        <f>'приложение 5'!K887</f>
        <v>9</v>
      </c>
      <c r="L730" s="57" t="str">
        <f>'приложение 5'!L887</f>
        <v>04</v>
      </c>
      <c r="M730" s="58" t="str">
        <f>'приложение 5'!M887</f>
        <v>0</v>
      </c>
      <c r="N730" s="58" t="str">
        <f>'приложение 5'!N887</f>
        <v>E1</v>
      </c>
      <c r="O730" s="58" t="str">
        <f>'приложение 5'!O887</f>
        <v>00000</v>
      </c>
      <c r="P730" s="3" t="str">
        <f>'приложение 5'!P887</f>
        <v> </v>
      </c>
      <c r="Q730" s="126">
        <f>'приложение 5'!Q887</f>
        <v>6641.7</v>
      </c>
      <c r="R730" s="126">
        <f>'приложение 5'!R887</f>
        <v>0</v>
      </c>
      <c r="S730" s="126">
        <f>'приложение 5'!S887</f>
        <v>0</v>
      </c>
    </row>
    <row r="731" spans="8:19" ht="47.25">
      <c r="H731" s="2" t="s">
        <v>896</v>
      </c>
      <c r="I731" s="301">
        <f>'приложение 5'!I888</f>
        <v>672</v>
      </c>
      <c r="J731" s="4">
        <f>'приложение 5'!J888</f>
        <v>7</v>
      </c>
      <c r="K731" s="11">
        <f>'приложение 5'!K888</f>
        <v>9</v>
      </c>
      <c r="L731" s="57" t="str">
        <f>'приложение 5'!L888</f>
        <v>04</v>
      </c>
      <c r="M731" s="58" t="str">
        <f>'приложение 5'!M888</f>
        <v>0</v>
      </c>
      <c r="N731" s="58" t="str">
        <f>'приложение 5'!N888</f>
        <v>E1</v>
      </c>
      <c r="O731" s="58" t="str">
        <f>'приложение 5'!O888</f>
        <v>51720</v>
      </c>
      <c r="P731" s="3" t="s">
        <v>262</v>
      </c>
      <c r="Q731" s="126">
        <f>'приложение 5'!Q888</f>
        <v>6641.7</v>
      </c>
      <c r="R731" s="126">
        <f>'приложение 5'!R888</f>
        <v>0</v>
      </c>
      <c r="S731" s="126">
        <f>'приложение 5'!S888</f>
        <v>0</v>
      </c>
    </row>
    <row r="732" spans="8:19" ht="18.75">
      <c r="H732" s="2" t="str">
        <f>'приложение 5'!H889</f>
        <v>Иные закупки товаров, работ и услуг для обеспечения государственных (муниципальных) нужд</v>
      </c>
      <c r="I732" s="301">
        <f>'приложение 5'!I889</f>
        <v>672</v>
      </c>
      <c r="J732" s="4">
        <f>'приложение 5'!J889</f>
        <v>7</v>
      </c>
      <c r="K732" s="11">
        <f>'приложение 5'!K889</f>
        <v>9</v>
      </c>
      <c r="L732" s="57" t="str">
        <f>'приложение 5'!L889</f>
        <v>04</v>
      </c>
      <c r="M732" s="58" t="str">
        <f>'приложение 5'!M889</f>
        <v>0</v>
      </c>
      <c r="N732" s="58" t="str">
        <f>'приложение 5'!N889</f>
        <v>E1</v>
      </c>
      <c r="O732" s="58" t="str">
        <f>'приложение 5'!O889</f>
        <v>51720</v>
      </c>
      <c r="P732" s="3">
        <f>'приложение 5'!P889</f>
        <v>240</v>
      </c>
      <c r="Q732" s="126">
        <f>'приложение 5'!Q889</f>
        <v>6641.7</v>
      </c>
      <c r="R732" s="126">
        <f>'приложение 5'!R889</f>
        <v>0</v>
      </c>
      <c r="S732" s="126">
        <f>'приложение 5'!S889</f>
        <v>0</v>
      </c>
    </row>
    <row r="733" spans="8:19" ht="18.75">
      <c r="H733" s="2" t="str">
        <f>'приложение 5'!H890</f>
        <v>Основное мероприятие "Реализация регионального проекта "Цифровая образовательная среда"</v>
      </c>
      <c r="I733" s="301">
        <f>'приложение 5'!I890</f>
        <v>672</v>
      </c>
      <c r="J733" s="4">
        <f>'приложение 5'!J890</f>
        <v>7</v>
      </c>
      <c r="K733" s="11">
        <f>'приложение 5'!K890</f>
        <v>9</v>
      </c>
      <c r="L733" s="57" t="str">
        <f>'приложение 5'!L890</f>
        <v>04</v>
      </c>
      <c r="M733" s="58" t="str">
        <f>'приложение 5'!M890</f>
        <v>0</v>
      </c>
      <c r="N733" s="58" t="str">
        <f>'приложение 5'!N890</f>
        <v>E4</v>
      </c>
      <c r="O733" s="58" t="str">
        <f>'приложение 5'!O890</f>
        <v>00000</v>
      </c>
      <c r="P733" s="3" t="s">
        <v>262</v>
      </c>
      <c r="Q733" s="126">
        <f>'приложение 5'!Q890</f>
        <v>3633.8</v>
      </c>
      <c r="R733" s="126">
        <f>'приложение 5'!R890</f>
        <v>0</v>
      </c>
      <c r="S733" s="126">
        <f>'приложение 5'!S890</f>
        <v>0</v>
      </c>
    </row>
    <row r="734" spans="8:19" ht="31.5">
      <c r="H734" s="2" t="str">
        <f>'приложение 5'!H891</f>
        <v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v>
      </c>
      <c r="I734" s="301">
        <f>'приложение 5'!I891</f>
        <v>672</v>
      </c>
      <c r="J734" s="4">
        <f>'приложение 5'!J891</f>
        <v>7</v>
      </c>
      <c r="K734" s="11">
        <f>'приложение 5'!K891</f>
        <v>9</v>
      </c>
      <c r="L734" s="57" t="str">
        <f>'приложение 5'!L891</f>
        <v>04</v>
      </c>
      <c r="M734" s="58" t="str">
        <f>'приложение 5'!M891</f>
        <v>0</v>
      </c>
      <c r="N734" s="58" t="str">
        <f>'приложение 5'!N891</f>
        <v>E4</v>
      </c>
      <c r="O734" s="58" t="str">
        <f>'приложение 5'!O891</f>
        <v>52130</v>
      </c>
      <c r="P734" s="3" t="s">
        <v>262</v>
      </c>
      <c r="Q734" s="126">
        <f>'приложение 5'!Q891</f>
        <v>3633.8</v>
      </c>
      <c r="R734" s="126">
        <f>'приложение 5'!R891</f>
        <v>0</v>
      </c>
      <c r="S734" s="126">
        <f>'приложение 5'!S891</f>
        <v>0</v>
      </c>
    </row>
    <row r="735" spans="8:19" ht="18.75">
      <c r="H735" s="2" t="str">
        <f>'приложение 5'!H892</f>
        <v>Иные закупки товаров, работ и услуг для обеспечения государственных (муниципальных) нужд</v>
      </c>
      <c r="I735" s="301">
        <f>'приложение 5'!I892</f>
        <v>672</v>
      </c>
      <c r="J735" s="4">
        <f>'приложение 5'!J892</f>
        <v>7</v>
      </c>
      <c r="K735" s="11">
        <f>'приложение 5'!K892</f>
        <v>9</v>
      </c>
      <c r="L735" s="57" t="str">
        <f>'приложение 5'!L892</f>
        <v>04</v>
      </c>
      <c r="M735" s="58" t="str">
        <f>'приложение 5'!M892</f>
        <v>0</v>
      </c>
      <c r="N735" s="58" t="str">
        <f>'приложение 5'!N892</f>
        <v>E4</v>
      </c>
      <c r="O735" s="58" t="str">
        <f>'приложение 5'!O892</f>
        <v>52130</v>
      </c>
      <c r="P735" s="3">
        <f>'приложение 5'!P892</f>
        <v>240</v>
      </c>
      <c r="Q735" s="126">
        <f>'приложение 5'!Q892</f>
        <v>3633.8</v>
      </c>
      <c r="R735" s="126">
        <f>'приложение 5'!R892</f>
        <v>0</v>
      </c>
      <c r="S735" s="126">
        <f>'приложение 5'!S892</f>
        <v>0</v>
      </c>
    </row>
    <row r="736" spans="8:19" ht="31.5">
      <c r="H736" s="2" t="s">
        <v>585</v>
      </c>
      <c r="I736" s="301"/>
      <c r="J736" s="4">
        <v>7</v>
      </c>
      <c r="K736" s="11">
        <v>9</v>
      </c>
      <c r="L736" s="57" t="s">
        <v>240</v>
      </c>
      <c r="M736" s="58" t="s">
        <v>220</v>
      </c>
      <c r="N736" s="58" t="s">
        <v>229</v>
      </c>
      <c r="O736" s="58" t="s">
        <v>261</v>
      </c>
      <c r="P736" s="3"/>
      <c r="Q736" s="126">
        <f>Q737+Q740</f>
        <v>130</v>
      </c>
      <c r="R736" s="126">
        <f>R737+R740</f>
        <v>130</v>
      </c>
      <c r="S736" s="126">
        <f>S737+S740</f>
        <v>130</v>
      </c>
    </row>
    <row r="737" spans="8:19" ht="18.75">
      <c r="H737" s="2" t="s">
        <v>586</v>
      </c>
      <c r="I737" s="267"/>
      <c r="J737" s="4">
        <v>7</v>
      </c>
      <c r="K737" s="11">
        <v>9</v>
      </c>
      <c r="L737" s="57" t="s">
        <v>240</v>
      </c>
      <c r="M737" s="58" t="s">
        <v>220</v>
      </c>
      <c r="N737" s="58" t="s">
        <v>221</v>
      </c>
      <c r="O737" s="58" t="s">
        <v>261</v>
      </c>
      <c r="P737" s="3"/>
      <c r="Q737" s="126">
        <f aca="true" t="shared" si="70" ref="Q737:S738">Q738</f>
        <v>60</v>
      </c>
      <c r="R737" s="126">
        <f t="shared" si="70"/>
        <v>60</v>
      </c>
      <c r="S737" s="126">
        <f t="shared" si="70"/>
        <v>60</v>
      </c>
    </row>
    <row r="738" spans="8:19" ht="18.75">
      <c r="H738" s="2" t="s">
        <v>385</v>
      </c>
      <c r="I738" s="267"/>
      <c r="J738" s="4">
        <v>7</v>
      </c>
      <c r="K738" s="11">
        <v>9</v>
      </c>
      <c r="L738" s="57" t="s">
        <v>240</v>
      </c>
      <c r="M738" s="58" t="s">
        <v>220</v>
      </c>
      <c r="N738" s="58" t="s">
        <v>221</v>
      </c>
      <c r="O738" s="58" t="s">
        <v>28</v>
      </c>
      <c r="P738" s="3"/>
      <c r="Q738" s="126">
        <f t="shared" si="70"/>
        <v>60</v>
      </c>
      <c r="R738" s="126">
        <f t="shared" si="70"/>
        <v>60</v>
      </c>
      <c r="S738" s="126">
        <f t="shared" si="70"/>
        <v>60</v>
      </c>
    </row>
    <row r="739" spans="8:19" ht="18.75">
      <c r="H739" s="2" t="s">
        <v>299</v>
      </c>
      <c r="I739" s="265"/>
      <c r="J739" s="4">
        <v>7</v>
      </c>
      <c r="K739" s="11">
        <v>9</v>
      </c>
      <c r="L739" s="57" t="s">
        <v>240</v>
      </c>
      <c r="M739" s="58" t="s">
        <v>220</v>
      </c>
      <c r="N739" s="58" t="s">
        <v>221</v>
      </c>
      <c r="O739" s="58" t="s">
        <v>28</v>
      </c>
      <c r="P739" s="3">
        <v>240</v>
      </c>
      <c r="Q739" s="126">
        <f>'приложение 5'!Q896</f>
        <v>60</v>
      </c>
      <c r="R739" s="126">
        <f>'приложение 5'!R896</f>
        <v>60</v>
      </c>
      <c r="S739" s="126">
        <f>'приложение 5'!S896</f>
        <v>60</v>
      </c>
    </row>
    <row r="740" spans="8:19" ht="31.5">
      <c r="H740" s="2" t="s">
        <v>386</v>
      </c>
      <c r="I740" s="267"/>
      <c r="J740" s="4">
        <v>7</v>
      </c>
      <c r="K740" s="11">
        <v>9</v>
      </c>
      <c r="L740" s="57" t="s">
        <v>240</v>
      </c>
      <c r="M740" s="58" t="s">
        <v>220</v>
      </c>
      <c r="N740" s="58" t="s">
        <v>236</v>
      </c>
      <c r="O740" s="58" t="s">
        <v>261</v>
      </c>
      <c r="P740" s="3"/>
      <c r="Q740" s="126">
        <f aca="true" t="shared" si="71" ref="Q740:S741">Q741</f>
        <v>70</v>
      </c>
      <c r="R740" s="126">
        <f t="shared" si="71"/>
        <v>70</v>
      </c>
      <c r="S740" s="126">
        <f t="shared" si="71"/>
        <v>70</v>
      </c>
    </row>
    <row r="741" spans="8:19" ht="18.75">
      <c r="H741" s="2" t="s">
        <v>387</v>
      </c>
      <c r="I741" s="267"/>
      <c r="J741" s="4">
        <v>7</v>
      </c>
      <c r="K741" s="11">
        <v>9</v>
      </c>
      <c r="L741" s="57" t="s">
        <v>240</v>
      </c>
      <c r="M741" s="58" t="s">
        <v>220</v>
      </c>
      <c r="N741" s="58" t="s">
        <v>236</v>
      </c>
      <c r="O741" s="58" t="s">
        <v>4</v>
      </c>
      <c r="P741" s="3"/>
      <c r="Q741" s="126">
        <f t="shared" si="71"/>
        <v>70</v>
      </c>
      <c r="R741" s="126">
        <f t="shared" si="71"/>
        <v>70</v>
      </c>
      <c r="S741" s="126">
        <f t="shared" si="71"/>
        <v>70</v>
      </c>
    </row>
    <row r="742" spans="8:19" ht="18.75">
      <c r="H742" s="2" t="s">
        <v>299</v>
      </c>
      <c r="I742" s="265"/>
      <c r="J742" s="4">
        <v>7</v>
      </c>
      <c r="K742" s="11">
        <v>9</v>
      </c>
      <c r="L742" s="57" t="s">
        <v>240</v>
      </c>
      <c r="M742" s="58" t="s">
        <v>220</v>
      </c>
      <c r="N742" s="58" t="s">
        <v>236</v>
      </c>
      <c r="O742" s="58" t="s">
        <v>4</v>
      </c>
      <c r="P742" s="3">
        <v>240</v>
      </c>
      <c r="Q742" s="126">
        <f>'приложение 5'!Q899</f>
        <v>70</v>
      </c>
      <c r="R742" s="126">
        <f>'приложение 5'!R899</f>
        <v>70</v>
      </c>
      <c r="S742" s="126">
        <f>'приложение 5'!S899</f>
        <v>70</v>
      </c>
    </row>
    <row r="743" spans="8:19" ht="19.5">
      <c r="H743" s="227" t="s">
        <v>258</v>
      </c>
      <c r="I743" s="297"/>
      <c r="J743" s="86">
        <v>8</v>
      </c>
      <c r="K743" s="86" t="s">
        <v>262</v>
      </c>
      <c r="L743" s="87"/>
      <c r="M743" s="88"/>
      <c r="N743" s="88"/>
      <c r="O743" s="88"/>
      <c r="P743" s="85"/>
      <c r="Q743" s="123">
        <f>Q744</f>
        <v>40855</v>
      </c>
      <c r="R743" s="123">
        <f>R744</f>
        <v>35905.5</v>
      </c>
      <c r="S743" s="123">
        <f>S744</f>
        <v>37504.5</v>
      </c>
    </row>
    <row r="744" spans="8:19" ht="19.5">
      <c r="H744" s="227" t="s">
        <v>82</v>
      </c>
      <c r="I744" s="297"/>
      <c r="J744" s="86">
        <v>8</v>
      </c>
      <c r="K744" s="86">
        <v>1</v>
      </c>
      <c r="L744" s="87"/>
      <c r="M744" s="88"/>
      <c r="N744" s="88"/>
      <c r="O744" s="88"/>
      <c r="P744" s="85"/>
      <c r="Q744" s="123">
        <f>Q745+Q770+Q766</f>
        <v>40855</v>
      </c>
      <c r="R744" s="123">
        <f>R745+R770+R766</f>
        <v>35905.5</v>
      </c>
      <c r="S744" s="123">
        <f>S745+S770+S766</f>
        <v>37504.5</v>
      </c>
    </row>
    <row r="745" spans="8:19" ht="18.75">
      <c r="H745" s="2" t="s">
        <v>549</v>
      </c>
      <c r="I745" s="281"/>
      <c r="J745" s="11">
        <v>8</v>
      </c>
      <c r="K745" s="11">
        <v>1</v>
      </c>
      <c r="L745" s="57" t="s">
        <v>219</v>
      </c>
      <c r="M745" s="58" t="s">
        <v>220</v>
      </c>
      <c r="N745" s="58" t="s">
        <v>229</v>
      </c>
      <c r="O745" s="58" t="s">
        <v>261</v>
      </c>
      <c r="P745" s="7"/>
      <c r="Q745" s="124">
        <f>Q746+Q755+Q760</f>
        <v>40496.1</v>
      </c>
      <c r="R745" s="124">
        <f>R746+R755+R760</f>
        <v>35905.5</v>
      </c>
      <c r="S745" s="124">
        <f>S746+S755+S760</f>
        <v>37504.5</v>
      </c>
    </row>
    <row r="746" spans="8:19" ht="31.5">
      <c r="H746" s="2" t="s">
        <v>552</v>
      </c>
      <c r="I746" s="281"/>
      <c r="J746" s="11">
        <v>8</v>
      </c>
      <c r="K746" s="11">
        <v>1</v>
      </c>
      <c r="L746" s="57" t="s">
        <v>219</v>
      </c>
      <c r="M746" s="58" t="s">
        <v>220</v>
      </c>
      <c r="N746" s="58" t="s">
        <v>221</v>
      </c>
      <c r="O746" s="58" t="s">
        <v>261</v>
      </c>
      <c r="P746" s="7"/>
      <c r="Q746" s="124">
        <f>Q747+Q749+Q751+Q753</f>
        <v>16692.8</v>
      </c>
      <c r="R746" s="124">
        <f>R747+R749+R751+R753</f>
        <v>15947.099999999999</v>
      </c>
      <c r="S746" s="124">
        <f>S747+S749+S751+S753</f>
        <v>16820.8</v>
      </c>
    </row>
    <row r="747" spans="8:19" ht="18.75">
      <c r="H747" s="2" t="s">
        <v>36</v>
      </c>
      <c r="I747" s="281"/>
      <c r="J747" s="11">
        <v>8</v>
      </c>
      <c r="K747" s="11">
        <v>1</v>
      </c>
      <c r="L747" s="57" t="s">
        <v>219</v>
      </c>
      <c r="M747" s="58" t="s">
        <v>220</v>
      </c>
      <c r="N747" s="58" t="s">
        <v>221</v>
      </c>
      <c r="O747" s="58" t="s">
        <v>35</v>
      </c>
      <c r="P747" s="7"/>
      <c r="Q747" s="124">
        <f>Q748</f>
        <v>9922.5</v>
      </c>
      <c r="R747" s="124">
        <f>R748</f>
        <v>10265.9</v>
      </c>
      <c r="S747" s="124">
        <f>S748</f>
        <v>10460.5</v>
      </c>
    </row>
    <row r="748" spans="8:19" ht="18.75">
      <c r="H748" s="2" t="s">
        <v>301</v>
      </c>
      <c r="I748" s="263"/>
      <c r="J748" s="11">
        <v>8</v>
      </c>
      <c r="K748" s="11">
        <v>1</v>
      </c>
      <c r="L748" s="57" t="s">
        <v>219</v>
      </c>
      <c r="M748" s="58" t="s">
        <v>220</v>
      </c>
      <c r="N748" s="58" t="s">
        <v>221</v>
      </c>
      <c r="O748" s="58" t="s">
        <v>35</v>
      </c>
      <c r="P748" s="7">
        <v>610</v>
      </c>
      <c r="Q748" s="124">
        <f>'приложение 5'!Q376</f>
        <v>9922.5</v>
      </c>
      <c r="R748" s="124">
        <f>'приложение 5'!R376</f>
        <v>10265.9</v>
      </c>
      <c r="S748" s="124">
        <f>'приложение 5'!S376</f>
        <v>10460.5</v>
      </c>
    </row>
    <row r="749" spans="8:19" ht="31.5">
      <c r="H749" s="2" t="s">
        <v>374</v>
      </c>
      <c r="I749" s="281"/>
      <c r="J749" s="11">
        <v>8</v>
      </c>
      <c r="K749" s="11">
        <v>1</v>
      </c>
      <c r="L749" s="57" t="s">
        <v>219</v>
      </c>
      <c r="M749" s="58" t="s">
        <v>220</v>
      </c>
      <c r="N749" s="58" t="s">
        <v>221</v>
      </c>
      <c r="O749" s="58" t="s">
        <v>373</v>
      </c>
      <c r="P749" s="7"/>
      <c r="Q749" s="124">
        <f>Q750</f>
        <v>4992</v>
      </c>
      <c r="R749" s="124">
        <f>R750</f>
        <v>5681.2</v>
      </c>
      <c r="S749" s="124">
        <f>S750</f>
        <v>6360.3</v>
      </c>
    </row>
    <row r="750" spans="8:19" ht="18.75">
      <c r="H750" s="2" t="s">
        <v>301</v>
      </c>
      <c r="I750" s="263"/>
      <c r="J750" s="11">
        <v>8</v>
      </c>
      <c r="K750" s="11">
        <v>1</v>
      </c>
      <c r="L750" s="57" t="s">
        <v>219</v>
      </c>
      <c r="M750" s="58" t="s">
        <v>220</v>
      </c>
      <c r="N750" s="58" t="s">
        <v>221</v>
      </c>
      <c r="O750" s="58" t="s">
        <v>373</v>
      </c>
      <c r="P750" s="7">
        <v>610</v>
      </c>
      <c r="Q750" s="124">
        <f>'приложение 5'!Q378</f>
        <v>4992</v>
      </c>
      <c r="R750" s="124">
        <f>'приложение 5'!R378</f>
        <v>5681.2</v>
      </c>
      <c r="S750" s="124">
        <f>'приложение 5'!S378</f>
        <v>6360.3</v>
      </c>
    </row>
    <row r="751" spans="8:19" ht="31.5">
      <c r="H751" s="2" t="s">
        <v>553</v>
      </c>
      <c r="I751" s="281"/>
      <c r="J751" s="11">
        <v>8</v>
      </c>
      <c r="K751" s="11">
        <v>1</v>
      </c>
      <c r="L751" s="57" t="s">
        <v>219</v>
      </c>
      <c r="M751" s="58" t="s">
        <v>220</v>
      </c>
      <c r="N751" s="58" t="s">
        <v>221</v>
      </c>
      <c r="O751" s="58" t="s">
        <v>499</v>
      </c>
      <c r="P751" s="7"/>
      <c r="Q751" s="124">
        <f>Q752</f>
        <v>1778.3</v>
      </c>
      <c r="R751" s="124">
        <f>R752</f>
        <v>0</v>
      </c>
      <c r="S751" s="124">
        <f>S752</f>
        <v>0</v>
      </c>
    </row>
    <row r="752" spans="8:19" ht="18.75">
      <c r="H752" s="2" t="s">
        <v>301</v>
      </c>
      <c r="I752" s="263"/>
      <c r="J752" s="11">
        <v>8</v>
      </c>
      <c r="K752" s="11">
        <v>1</v>
      </c>
      <c r="L752" s="57" t="s">
        <v>219</v>
      </c>
      <c r="M752" s="58" t="s">
        <v>220</v>
      </c>
      <c r="N752" s="58" t="s">
        <v>221</v>
      </c>
      <c r="O752" s="58" t="s">
        <v>499</v>
      </c>
      <c r="P752" s="7">
        <v>610</v>
      </c>
      <c r="Q752" s="124">
        <f>'приложение 5'!Q380</f>
        <v>1778.3</v>
      </c>
      <c r="R752" s="124">
        <f>'приложение 5'!R380</f>
        <v>0</v>
      </c>
      <c r="S752" s="124">
        <f>'приложение 5'!S380</f>
        <v>0</v>
      </c>
    </row>
    <row r="753" spans="8:19" ht="18.75" hidden="1">
      <c r="H753" s="2" t="s">
        <v>554</v>
      </c>
      <c r="I753" s="281"/>
      <c r="J753" s="11">
        <v>8</v>
      </c>
      <c r="K753" s="11">
        <v>1</v>
      </c>
      <c r="L753" s="57" t="s">
        <v>219</v>
      </c>
      <c r="M753" s="58" t="s">
        <v>220</v>
      </c>
      <c r="N753" s="58" t="s">
        <v>221</v>
      </c>
      <c r="O753" s="58" t="s">
        <v>500</v>
      </c>
      <c r="P753" s="7"/>
      <c r="Q753" s="124">
        <f>Q754</f>
        <v>0</v>
      </c>
      <c r="R753" s="124">
        <f>R754</f>
        <v>0</v>
      </c>
      <c r="S753" s="124">
        <f>S754</f>
        <v>0</v>
      </c>
    </row>
    <row r="754" spans="8:19" ht="18.75" hidden="1">
      <c r="H754" s="2" t="s">
        <v>301</v>
      </c>
      <c r="I754" s="263"/>
      <c r="J754" s="11">
        <v>8</v>
      </c>
      <c r="K754" s="11">
        <v>1</v>
      </c>
      <c r="L754" s="57" t="s">
        <v>219</v>
      </c>
      <c r="M754" s="58" t="s">
        <v>220</v>
      </c>
      <c r="N754" s="58" t="s">
        <v>221</v>
      </c>
      <c r="O754" s="58" t="s">
        <v>500</v>
      </c>
      <c r="P754" s="7">
        <v>610</v>
      </c>
      <c r="Q754" s="124">
        <f>'приложение 5'!Q382</f>
        <v>0</v>
      </c>
      <c r="R754" s="124">
        <f>'приложение 5'!R382</f>
        <v>0</v>
      </c>
      <c r="S754" s="124">
        <f>'приложение 5'!S382</f>
        <v>0</v>
      </c>
    </row>
    <row r="755" spans="8:19" ht="31.5">
      <c r="H755" s="2" t="s">
        <v>284</v>
      </c>
      <c r="I755" s="281"/>
      <c r="J755" s="11">
        <v>8</v>
      </c>
      <c r="K755" s="11">
        <v>1</v>
      </c>
      <c r="L755" s="57" t="s">
        <v>219</v>
      </c>
      <c r="M755" s="58" t="s">
        <v>220</v>
      </c>
      <c r="N755" s="58" t="s">
        <v>236</v>
      </c>
      <c r="O755" s="58" t="s">
        <v>261</v>
      </c>
      <c r="P755" s="7"/>
      <c r="Q755" s="124">
        <f>Q756+Q758</f>
        <v>18588.2</v>
      </c>
      <c r="R755" s="124">
        <f>R756+R758</f>
        <v>19458.4</v>
      </c>
      <c r="S755" s="124">
        <f>S756+S758</f>
        <v>20433.7</v>
      </c>
    </row>
    <row r="756" spans="8:19" ht="18.75">
      <c r="H756" s="2" t="s">
        <v>8</v>
      </c>
      <c r="I756" s="263"/>
      <c r="J756" s="11">
        <v>8</v>
      </c>
      <c r="K756" s="11">
        <v>1</v>
      </c>
      <c r="L756" s="57" t="s">
        <v>219</v>
      </c>
      <c r="M756" s="58" t="s">
        <v>220</v>
      </c>
      <c r="N756" s="58" t="s">
        <v>236</v>
      </c>
      <c r="O756" s="58" t="s">
        <v>9</v>
      </c>
      <c r="P756" s="7"/>
      <c r="Q756" s="124">
        <f>Q757</f>
        <v>12599.7</v>
      </c>
      <c r="R756" s="124">
        <f>R757</f>
        <v>12816.5</v>
      </c>
      <c r="S756" s="124">
        <f>S757</f>
        <v>13018.2</v>
      </c>
    </row>
    <row r="757" spans="8:19" ht="18.75">
      <c r="H757" s="2" t="s">
        <v>301</v>
      </c>
      <c r="I757" s="263"/>
      <c r="J757" s="11">
        <v>8</v>
      </c>
      <c r="K757" s="11">
        <v>1</v>
      </c>
      <c r="L757" s="57" t="s">
        <v>219</v>
      </c>
      <c r="M757" s="58" t="s">
        <v>220</v>
      </c>
      <c r="N757" s="58" t="s">
        <v>236</v>
      </c>
      <c r="O757" s="58" t="s">
        <v>9</v>
      </c>
      <c r="P757" s="7">
        <v>610</v>
      </c>
      <c r="Q757" s="124">
        <f>'приложение 5'!Q385</f>
        <v>12599.7</v>
      </c>
      <c r="R757" s="124">
        <f>'приложение 5'!R385</f>
        <v>12816.5</v>
      </c>
      <c r="S757" s="124">
        <f>'приложение 5'!S385</f>
        <v>13018.2</v>
      </c>
    </row>
    <row r="758" spans="8:19" ht="31.5">
      <c r="H758" s="2" t="s">
        <v>374</v>
      </c>
      <c r="I758" s="281"/>
      <c r="J758" s="11">
        <v>8</v>
      </c>
      <c r="K758" s="11">
        <v>1</v>
      </c>
      <c r="L758" s="57" t="s">
        <v>219</v>
      </c>
      <c r="M758" s="58" t="s">
        <v>220</v>
      </c>
      <c r="N758" s="58" t="s">
        <v>236</v>
      </c>
      <c r="O758" s="58" t="s">
        <v>373</v>
      </c>
      <c r="P758" s="7"/>
      <c r="Q758" s="124">
        <f>Q759</f>
        <v>5988.5</v>
      </c>
      <c r="R758" s="124">
        <f>R759</f>
        <v>6641.9</v>
      </c>
      <c r="S758" s="124">
        <f>S759</f>
        <v>7415.5</v>
      </c>
    </row>
    <row r="759" spans="8:19" ht="18.75">
      <c r="H759" s="2" t="s">
        <v>301</v>
      </c>
      <c r="I759" s="263"/>
      <c r="J759" s="11">
        <v>8</v>
      </c>
      <c r="K759" s="11">
        <v>1</v>
      </c>
      <c r="L759" s="57" t="s">
        <v>219</v>
      </c>
      <c r="M759" s="58" t="s">
        <v>220</v>
      </c>
      <c r="N759" s="58" t="s">
        <v>236</v>
      </c>
      <c r="O759" s="58" t="s">
        <v>373</v>
      </c>
      <c r="P759" s="7">
        <v>610</v>
      </c>
      <c r="Q759" s="124">
        <f>'приложение 5'!Q387</f>
        <v>5988.5</v>
      </c>
      <c r="R759" s="124">
        <f>'приложение 5'!R387</f>
        <v>6641.9</v>
      </c>
      <c r="S759" s="124">
        <f>'приложение 5'!S387</f>
        <v>7415.5</v>
      </c>
    </row>
    <row r="760" spans="8:19" ht="31.5">
      <c r="H760" s="2" t="s">
        <v>555</v>
      </c>
      <c r="I760" s="281"/>
      <c r="J760" s="11">
        <v>8</v>
      </c>
      <c r="K760" s="11">
        <v>1</v>
      </c>
      <c r="L760" s="57" t="s">
        <v>219</v>
      </c>
      <c r="M760" s="58" t="s">
        <v>220</v>
      </c>
      <c r="N760" s="58" t="s">
        <v>237</v>
      </c>
      <c r="O760" s="58" t="s">
        <v>261</v>
      </c>
      <c r="P760" s="7"/>
      <c r="Q760" s="124">
        <f>Q761+Q764</f>
        <v>5215.1</v>
      </c>
      <c r="R760" s="124">
        <f>R761+R764</f>
        <v>500</v>
      </c>
      <c r="S760" s="124">
        <f>S761+S764</f>
        <v>250</v>
      </c>
    </row>
    <row r="761" spans="8:19" ht="18.75">
      <c r="H761" s="2" t="s">
        <v>8</v>
      </c>
      <c r="I761" s="263"/>
      <c r="J761" s="11">
        <v>8</v>
      </c>
      <c r="K761" s="11">
        <v>1</v>
      </c>
      <c r="L761" s="57" t="s">
        <v>219</v>
      </c>
      <c r="M761" s="58" t="s">
        <v>220</v>
      </c>
      <c r="N761" s="58" t="s">
        <v>237</v>
      </c>
      <c r="O761" s="58" t="s">
        <v>9</v>
      </c>
      <c r="P761" s="7"/>
      <c r="Q761" s="124">
        <f>Q762+Q763</f>
        <v>2920</v>
      </c>
      <c r="R761" s="124">
        <f>R762+R763</f>
        <v>500</v>
      </c>
      <c r="S761" s="124">
        <f>S762+S763</f>
        <v>250</v>
      </c>
    </row>
    <row r="762" spans="8:19" ht="18.75">
      <c r="H762" s="2" t="s">
        <v>299</v>
      </c>
      <c r="I762" s="263"/>
      <c r="J762" s="11">
        <v>8</v>
      </c>
      <c r="K762" s="11">
        <v>1</v>
      </c>
      <c r="L762" s="57" t="s">
        <v>219</v>
      </c>
      <c r="M762" s="58" t="s">
        <v>220</v>
      </c>
      <c r="N762" s="58" t="s">
        <v>237</v>
      </c>
      <c r="O762" s="58" t="s">
        <v>9</v>
      </c>
      <c r="P762" s="7">
        <v>240</v>
      </c>
      <c r="Q762" s="124">
        <f>'приложение 5'!Q390</f>
        <v>2200</v>
      </c>
      <c r="R762" s="124">
        <f>'приложение 5'!R390</f>
        <v>0</v>
      </c>
      <c r="S762" s="124">
        <f>'приложение 5'!S390</f>
        <v>0</v>
      </c>
    </row>
    <row r="763" spans="8:19" ht="18.75">
      <c r="H763" s="2" t="s">
        <v>301</v>
      </c>
      <c r="I763" s="263"/>
      <c r="J763" s="11">
        <v>8</v>
      </c>
      <c r="K763" s="11">
        <v>1</v>
      </c>
      <c r="L763" s="57" t="s">
        <v>219</v>
      </c>
      <c r="M763" s="58" t="s">
        <v>220</v>
      </c>
      <c r="N763" s="58" t="s">
        <v>237</v>
      </c>
      <c r="O763" s="58" t="s">
        <v>9</v>
      </c>
      <c r="P763" s="7">
        <v>610</v>
      </c>
      <c r="Q763" s="124">
        <f>'приложение 5'!Q391</f>
        <v>720</v>
      </c>
      <c r="R763" s="124">
        <f>'приложение 5'!R391</f>
        <v>500</v>
      </c>
      <c r="S763" s="124">
        <f>'приложение 5'!S391</f>
        <v>250</v>
      </c>
    </row>
    <row r="764" spans="8:19" ht="31.5">
      <c r="H764" s="2" t="s">
        <v>553</v>
      </c>
      <c r="I764" s="281"/>
      <c r="J764" s="11">
        <v>8</v>
      </c>
      <c r="K764" s="11">
        <v>1</v>
      </c>
      <c r="L764" s="57" t="s">
        <v>219</v>
      </c>
      <c r="M764" s="58" t="s">
        <v>220</v>
      </c>
      <c r="N764" s="58" t="s">
        <v>237</v>
      </c>
      <c r="O764" s="58" t="s">
        <v>499</v>
      </c>
      <c r="P764" s="7"/>
      <c r="Q764" s="124">
        <f>Q765</f>
        <v>2295.1</v>
      </c>
      <c r="R764" s="124">
        <f>R765</f>
        <v>0</v>
      </c>
      <c r="S764" s="124">
        <f>S765</f>
        <v>0</v>
      </c>
    </row>
    <row r="765" spans="8:19" ht="18.75">
      <c r="H765" s="2" t="s">
        <v>301</v>
      </c>
      <c r="I765" s="263"/>
      <c r="J765" s="11">
        <v>8</v>
      </c>
      <c r="K765" s="11">
        <v>1</v>
      </c>
      <c r="L765" s="57" t="s">
        <v>219</v>
      </c>
      <c r="M765" s="58" t="s">
        <v>220</v>
      </c>
      <c r="N765" s="58" t="s">
        <v>237</v>
      </c>
      <c r="O765" s="58" t="s">
        <v>499</v>
      </c>
      <c r="P765" s="7">
        <v>610</v>
      </c>
      <c r="Q765" s="124">
        <f>'приложение 5'!Q393</f>
        <v>2295.1</v>
      </c>
      <c r="R765" s="124">
        <f>'приложение 5'!R393</f>
        <v>0</v>
      </c>
      <c r="S765" s="124">
        <f>'приложение 5'!S393</f>
        <v>0</v>
      </c>
    </row>
    <row r="766" spans="8:19" ht="18.75">
      <c r="H766" s="2" t="s">
        <v>391</v>
      </c>
      <c r="I766" s="263"/>
      <c r="J766" s="11">
        <v>8</v>
      </c>
      <c r="K766" s="11">
        <v>1</v>
      </c>
      <c r="L766" s="57" t="s">
        <v>215</v>
      </c>
      <c r="M766" s="58" t="s">
        <v>216</v>
      </c>
      <c r="N766" s="58" t="s">
        <v>229</v>
      </c>
      <c r="O766" s="58" t="s">
        <v>261</v>
      </c>
      <c r="P766" s="7"/>
      <c r="Q766" s="124">
        <f aca="true" t="shared" si="72" ref="Q766:S768">Q767</f>
        <v>50</v>
      </c>
      <c r="R766" s="124">
        <f t="shared" si="72"/>
        <v>0</v>
      </c>
      <c r="S766" s="124">
        <f t="shared" si="72"/>
        <v>0</v>
      </c>
    </row>
    <row r="767" spans="8:19" ht="31.5">
      <c r="H767" s="2" t="s">
        <v>392</v>
      </c>
      <c r="I767" s="263"/>
      <c r="J767" s="11">
        <v>8</v>
      </c>
      <c r="K767" s="11">
        <v>1</v>
      </c>
      <c r="L767" s="57" t="s">
        <v>215</v>
      </c>
      <c r="M767" s="58" t="s">
        <v>216</v>
      </c>
      <c r="N767" s="58" t="s">
        <v>221</v>
      </c>
      <c r="O767" s="58" t="s">
        <v>261</v>
      </c>
      <c r="P767" s="7"/>
      <c r="Q767" s="124">
        <f t="shared" si="72"/>
        <v>50</v>
      </c>
      <c r="R767" s="124">
        <f t="shared" si="72"/>
        <v>0</v>
      </c>
      <c r="S767" s="124">
        <f t="shared" si="72"/>
        <v>0</v>
      </c>
    </row>
    <row r="768" spans="8:19" ht="47.25">
      <c r="H768" s="2" t="s">
        <v>393</v>
      </c>
      <c r="I768" s="263"/>
      <c r="J768" s="11">
        <v>8</v>
      </c>
      <c r="K768" s="11">
        <v>1</v>
      </c>
      <c r="L768" s="57" t="s">
        <v>215</v>
      </c>
      <c r="M768" s="58" t="s">
        <v>216</v>
      </c>
      <c r="N768" s="58" t="s">
        <v>221</v>
      </c>
      <c r="O768" s="58" t="s">
        <v>341</v>
      </c>
      <c r="P768" s="7"/>
      <c r="Q768" s="124">
        <f t="shared" si="72"/>
        <v>50</v>
      </c>
      <c r="R768" s="124">
        <f t="shared" si="72"/>
        <v>0</v>
      </c>
      <c r="S768" s="124">
        <f t="shared" si="72"/>
        <v>0</v>
      </c>
    </row>
    <row r="769" spans="8:19" ht="18.75">
      <c r="H769" s="2" t="s">
        <v>301</v>
      </c>
      <c r="I769" s="263"/>
      <c r="J769" s="11">
        <v>8</v>
      </c>
      <c r="K769" s="11">
        <v>1</v>
      </c>
      <c r="L769" s="57" t="s">
        <v>215</v>
      </c>
      <c r="M769" s="58" t="s">
        <v>216</v>
      </c>
      <c r="N769" s="58" t="s">
        <v>221</v>
      </c>
      <c r="O769" s="58" t="s">
        <v>341</v>
      </c>
      <c r="P769" s="7">
        <v>610</v>
      </c>
      <c r="Q769" s="124">
        <f>'приложение 5'!Q397</f>
        <v>50</v>
      </c>
      <c r="R769" s="124">
        <f>'приложение 5'!R397</f>
        <v>0</v>
      </c>
      <c r="S769" s="124">
        <f>'приложение 5'!S397</f>
        <v>0</v>
      </c>
    </row>
    <row r="770" spans="8:19" ht="31.5">
      <c r="H770" s="2" t="s">
        <v>522</v>
      </c>
      <c r="I770" s="263"/>
      <c r="J770" s="11">
        <v>8</v>
      </c>
      <c r="K770" s="11">
        <v>1</v>
      </c>
      <c r="L770" s="57" t="s">
        <v>494</v>
      </c>
      <c r="M770" s="58" t="s">
        <v>220</v>
      </c>
      <c r="N770" s="58" t="s">
        <v>229</v>
      </c>
      <c r="O770" s="58" t="s">
        <v>261</v>
      </c>
      <c r="P770" s="7"/>
      <c r="Q770" s="124">
        <f>Q774+Q771</f>
        <v>308.9</v>
      </c>
      <c r="R770" s="124">
        <f>R774+R771</f>
        <v>0</v>
      </c>
      <c r="S770" s="124">
        <f>S774+S771</f>
        <v>0</v>
      </c>
    </row>
    <row r="771" spans="8:19" ht="31.5">
      <c r="H771" s="2" t="s">
        <v>902</v>
      </c>
      <c r="I771" s="263"/>
      <c r="J771" s="13">
        <v>8</v>
      </c>
      <c r="K771" s="11">
        <v>1</v>
      </c>
      <c r="L771" s="57" t="s">
        <v>494</v>
      </c>
      <c r="M771" s="58" t="s">
        <v>220</v>
      </c>
      <c r="N771" s="58" t="s">
        <v>232</v>
      </c>
      <c r="O771" s="58" t="s">
        <v>261</v>
      </c>
      <c r="P771" s="3"/>
      <c r="Q771" s="124">
        <f aca="true" t="shared" si="73" ref="Q771:S772">Q772</f>
        <v>289.9</v>
      </c>
      <c r="R771" s="124">
        <f t="shared" si="73"/>
        <v>0</v>
      </c>
      <c r="S771" s="124">
        <f t="shared" si="73"/>
        <v>0</v>
      </c>
    </row>
    <row r="772" spans="8:19" ht="18.75">
      <c r="H772" s="303" t="s">
        <v>462</v>
      </c>
      <c r="I772" s="263"/>
      <c r="J772" s="13">
        <v>8</v>
      </c>
      <c r="K772" s="11">
        <v>1</v>
      </c>
      <c r="L772" s="57" t="s">
        <v>494</v>
      </c>
      <c r="M772" s="58" t="s">
        <v>220</v>
      </c>
      <c r="N772" s="58" t="s">
        <v>232</v>
      </c>
      <c r="O772" s="58" t="s">
        <v>316</v>
      </c>
      <c r="P772" s="3"/>
      <c r="Q772" s="124">
        <f t="shared" si="73"/>
        <v>289.9</v>
      </c>
      <c r="R772" s="124">
        <f t="shared" si="73"/>
        <v>0</v>
      </c>
      <c r="S772" s="124">
        <f t="shared" si="73"/>
        <v>0</v>
      </c>
    </row>
    <row r="773" spans="8:19" ht="18.75">
      <c r="H773" s="2" t="s">
        <v>299</v>
      </c>
      <c r="I773" s="263"/>
      <c r="J773" s="13">
        <v>8</v>
      </c>
      <c r="K773" s="11">
        <v>1</v>
      </c>
      <c r="L773" s="57" t="s">
        <v>494</v>
      </c>
      <c r="M773" s="58" t="s">
        <v>220</v>
      </c>
      <c r="N773" s="58" t="s">
        <v>232</v>
      </c>
      <c r="O773" s="58" t="s">
        <v>316</v>
      </c>
      <c r="P773" s="3">
        <v>240</v>
      </c>
      <c r="Q773" s="124">
        <f>'приложение 5'!Q1089</f>
        <v>289.9</v>
      </c>
      <c r="R773" s="124">
        <f>'приложение 5'!R1089</f>
        <v>0</v>
      </c>
      <c r="S773" s="124">
        <f>'приложение 5'!S1089</f>
        <v>0</v>
      </c>
    </row>
    <row r="774" spans="8:19" ht="63">
      <c r="H774" s="2" t="s">
        <v>956</v>
      </c>
      <c r="I774" s="263"/>
      <c r="J774" s="11">
        <v>8</v>
      </c>
      <c r="K774" s="11">
        <v>1</v>
      </c>
      <c r="L774" s="57" t="s">
        <v>494</v>
      </c>
      <c r="M774" s="58" t="s">
        <v>220</v>
      </c>
      <c r="N774" s="58" t="s">
        <v>225</v>
      </c>
      <c r="O774" s="58" t="s">
        <v>261</v>
      </c>
      <c r="P774" s="7"/>
      <c r="Q774" s="124">
        <f aca="true" t="shared" si="74" ref="Q774:S775">Q775</f>
        <v>19</v>
      </c>
      <c r="R774" s="124">
        <f t="shared" si="74"/>
        <v>0</v>
      </c>
      <c r="S774" s="124">
        <f t="shared" si="74"/>
        <v>0</v>
      </c>
    </row>
    <row r="775" spans="8:19" ht="18.75">
      <c r="H775" s="2" t="s">
        <v>384</v>
      </c>
      <c r="I775" s="263"/>
      <c r="J775" s="11">
        <v>8</v>
      </c>
      <c r="K775" s="11">
        <v>1</v>
      </c>
      <c r="L775" s="57" t="s">
        <v>494</v>
      </c>
      <c r="M775" s="58" t="s">
        <v>220</v>
      </c>
      <c r="N775" s="58" t="s">
        <v>225</v>
      </c>
      <c r="O775" s="58" t="s">
        <v>910</v>
      </c>
      <c r="P775" s="7"/>
      <c r="Q775" s="124">
        <f t="shared" si="74"/>
        <v>19</v>
      </c>
      <c r="R775" s="124">
        <f t="shared" si="74"/>
        <v>0</v>
      </c>
      <c r="S775" s="124">
        <f t="shared" si="74"/>
        <v>0</v>
      </c>
    </row>
    <row r="776" spans="8:19" ht="18.75">
      <c r="H776" s="2" t="s">
        <v>301</v>
      </c>
      <c r="I776" s="263"/>
      <c r="J776" s="11">
        <v>8</v>
      </c>
      <c r="K776" s="11">
        <v>1</v>
      </c>
      <c r="L776" s="57" t="s">
        <v>494</v>
      </c>
      <c r="M776" s="58" t="s">
        <v>220</v>
      </c>
      <c r="N776" s="58" t="s">
        <v>225</v>
      </c>
      <c r="O776" s="58" t="s">
        <v>910</v>
      </c>
      <c r="P776" s="7">
        <v>610</v>
      </c>
      <c r="Q776" s="124">
        <f>'приложение 5'!Q401</f>
        <v>19</v>
      </c>
      <c r="R776" s="124">
        <f>'приложение 5'!R401</f>
        <v>0</v>
      </c>
      <c r="S776" s="124">
        <f>'приложение 5'!S401</f>
        <v>0</v>
      </c>
    </row>
    <row r="777" spans="8:19" ht="19.5">
      <c r="H777" s="227" t="s">
        <v>247</v>
      </c>
      <c r="I777" s="297"/>
      <c r="J777" s="86">
        <v>9</v>
      </c>
      <c r="K777" s="86" t="s">
        <v>262</v>
      </c>
      <c r="L777" s="87"/>
      <c r="M777" s="88"/>
      <c r="N777" s="88"/>
      <c r="O777" s="88"/>
      <c r="P777" s="85"/>
      <c r="Q777" s="123">
        <f>Q778</f>
        <v>248.8</v>
      </c>
      <c r="R777" s="123">
        <f aca="true" t="shared" si="75" ref="R777:S781">R778</f>
        <v>248.8</v>
      </c>
      <c r="S777" s="123">
        <f t="shared" si="75"/>
        <v>248.8</v>
      </c>
    </row>
    <row r="778" spans="8:19" ht="19.5">
      <c r="H778" s="227" t="s">
        <v>224</v>
      </c>
      <c r="I778" s="297"/>
      <c r="J778" s="86">
        <v>9</v>
      </c>
      <c r="K778" s="86">
        <v>7</v>
      </c>
      <c r="L778" s="87"/>
      <c r="M778" s="88"/>
      <c r="N778" s="88"/>
      <c r="O778" s="88"/>
      <c r="P778" s="85"/>
      <c r="Q778" s="123">
        <f>Q779</f>
        <v>248.8</v>
      </c>
      <c r="R778" s="123">
        <f t="shared" si="75"/>
        <v>248.8</v>
      </c>
      <c r="S778" s="123">
        <f t="shared" si="75"/>
        <v>248.8</v>
      </c>
    </row>
    <row r="779" spans="8:19" ht="31.5">
      <c r="H779" s="2" t="s">
        <v>522</v>
      </c>
      <c r="I779" s="263"/>
      <c r="J779" s="11">
        <v>9</v>
      </c>
      <c r="K779" s="11">
        <v>7</v>
      </c>
      <c r="L779" s="57" t="s">
        <v>494</v>
      </c>
      <c r="M779" s="58" t="s">
        <v>220</v>
      </c>
      <c r="N779" s="58" t="s">
        <v>229</v>
      </c>
      <c r="O779" s="58" t="s">
        <v>261</v>
      </c>
      <c r="P779" s="7"/>
      <c r="Q779" s="124">
        <f>Q780</f>
        <v>248.8</v>
      </c>
      <c r="R779" s="124">
        <f t="shared" si="75"/>
        <v>248.8</v>
      </c>
      <c r="S779" s="124">
        <f t="shared" si="75"/>
        <v>248.8</v>
      </c>
    </row>
    <row r="780" spans="8:19" ht="31.5">
      <c r="H780" s="2" t="s">
        <v>524</v>
      </c>
      <c r="I780" s="281"/>
      <c r="J780" s="11">
        <v>9</v>
      </c>
      <c r="K780" s="11">
        <v>7</v>
      </c>
      <c r="L780" s="57" t="s">
        <v>494</v>
      </c>
      <c r="M780" s="58" t="s">
        <v>220</v>
      </c>
      <c r="N780" s="58" t="s">
        <v>223</v>
      </c>
      <c r="O780" s="58" t="s">
        <v>261</v>
      </c>
      <c r="P780" s="7"/>
      <c r="Q780" s="124">
        <f>Q781</f>
        <v>248.8</v>
      </c>
      <c r="R780" s="124">
        <f t="shared" si="75"/>
        <v>248.8</v>
      </c>
      <c r="S780" s="124">
        <f t="shared" si="75"/>
        <v>248.8</v>
      </c>
    </row>
    <row r="781" spans="8:19" ht="47.25">
      <c r="H781" s="2" t="s">
        <v>298</v>
      </c>
      <c r="I781" s="281"/>
      <c r="J781" s="11">
        <v>9</v>
      </c>
      <c r="K781" s="11">
        <v>7</v>
      </c>
      <c r="L781" s="57" t="s">
        <v>494</v>
      </c>
      <c r="M781" s="58" t="s">
        <v>220</v>
      </c>
      <c r="N781" s="58" t="s">
        <v>223</v>
      </c>
      <c r="O781" s="58" t="s">
        <v>266</v>
      </c>
      <c r="P781" s="7"/>
      <c r="Q781" s="124">
        <f>Q782</f>
        <v>248.8</v>
      </c>
      <c r="R781" s="124">
        <f t="shared" si="75"/>
        <v>248.8</v>
      </c>
      <c r="S781" s="124">
        <f t="shared" si="75"/>
        <v>248.8</v>
      </c>
    </row>
    <row r="782" spans="8:19" ht="18.75">
      <c r="H782" s="2" t="s">
        <v>299</v>
      </c>
      <c r="I782" s="263"/>
      <c r="J782" s="11">
        <v>9</v>
      </c>
      <c r="K782" s="11">
        <v>7</v>
      </c>
      <c r="L782" s="57" t="s">
        <v>494</v>
      </c>
      <c r="M782" s="58" t="s">
        <v>220</v>
      </c>
      <c r="N782" s="58" t="s">
        <v>223</v>
      </c>
      <c r="O782" s="58" t="s">
        <v>266</v>
      </c>
      <c r="P782" s="7">
        <v>240</v>
      </c>
      <c r="Q782" s="124">
        <f>'приложение 5'!Q407</f>
        <v>248.8</v>
      </c>
      <c r="R782" s="124">
        <f>'приложение 5'!R407</f>
        <v>248.8</v>
      </c>
      <c r="S782" s="124">
        <f>'приложение 5'!S407</f>
        <v>248.8</v>
      </c>
    </row>
    <row r="783" spans="8:19" ht="19.5">
      <c r="H783" s="227" t="s">
        <v>248</v>
      </c>
      <c r="I783" s="297"/>
      <c r="J783" s="86">
        <v>10</v>
      </c>
      <c r="K783" s="86" t="s">
        <v>262</v>
      </c>
      <c r="L783" s="87"/>
      <c r="M783" s="88"/>
      <c r="N783" s="88"/>
      <c r="O783" s="88"/>
      <c r="P783" s="85"/>
      <c r="Q783" s="123">
        <f>Q784+Q798+Q833+Q827</f>
        <v>22838.100000000002</v>
      </c>
      <c r="R783" s="123">
        <f>R784+R798+R833+R827</f>
        <v>11538.6</v>
      </c>
      <c r="S783" s="123">
        <f>S784+S798+S833+S827</f>
        <v>10037.4</v>
      </c>
    </row>
    <row r="784" spans="8:19" ht="19.5">
      <c r="H784" s="225" t="s">
        <v>81</v>
      </c>
      <c r="I784" s="306"/>
      <c r="J784" s="86">
        <v>10</v>
      </c>
      <c r="K784" s="86">
        <v>1</v>
      </c>
      <c r="L784" s="87"/>
      <c r="M784" s="88"/>
      <c r="N784" s="88"/>
      <c r="O784" s="88"/>
      <c r="P784" s="85"/>
      <c r="Q784" s="123">
        <f>Q786+Q790+Q792+Q795</f>
        <v>4130</v>
      </c>
      <c r="R784" s="123">
        <f>R785</f>
        <v>4130</v>
      </c>
      <c r="S784" s="123">
        <f>S785</f>
        <v>4130</v>
      </c>
    </row>
    <row r="785" spans="8:19" ht="31.5">
      <c r="H785" s="2" t="s">
        <v>522</v>
      </c>
      <c r="I785" s="263"/>
      <c r="J785" s="11">
        <v>10</v>
      </c>
      <c r="K785" s="11">
        <v>1</v>
      </c>
      <c r="L785" s="57" t="s">
        <v>494</v>
      </c>
      <c r="M785" s="58" t="s">
        <v>220</v>
      </c>
      <c r="N785" s="58" t="s">
        <v>229</v>
      </c>
      <c r="O785" s="58" t="s">
        <v>261</v>
      </c>
      <c r="P785" s="7"/>
      <c r="Q785" s="124">
        <f>Q786+Q789+Q792+Q795</f>
        <v>4130</v>
      </c>
      <c r="R785" s="124">
        <f>R786+R789+R792+R795</f>
        <v>4130</v>
      </c>
      <c r="S785" s="124">
        <f>S786+S789+S792+S795</f>
        <v>4130</v>
      </c>
    </row>
    <row r="786" spans="8:19" ht="31.5" hidden="1">
      <c r="H786" s="2" t="s">
        <v>899</v>
      </c>
      <c r="I786" s="263"/>
      <c r="J786" s="11">
        <v>10</v>
      </c>
      <c r="K786" s="11">
        <v>1</v>
      </c>
      <c r="L786" s="57" t="s">
        <v>494</v>
      </c>
      <c r="M786" s="58" t="s">
        <v>220</v>
      </c>
      <c r="N786" s="58" t="s">
        <v>236</v>
      </c>
      <c r="O786" s="58" t="s">
        <v>261</v>
      </c>
      <c r="P786" s="3"/>
      <c r="Q786" s="126">
        <f aca="true" t="shared" si="76" ref="Q786:S787">Q787</f>
        <v>0</v>
      </c>
      <c r="R786" s="126">
        <f t="shared" si="76"/>
        <v>0</v>
      </c>
      <c r="S786" s="126">
        <f t="shared" si="76"/>
        <v>0</v>
      </c>
    </row>
    <row r="787" spans="8:19" ht="18.75" hidden="1">
      <c r="H787" s="2" t="s">
        <v>556</v>
      </c>
      <c r="I787" s="263"/>
      <c r="J787" s="11">
        <v>10</v>
      </c>
      <c r="K787" s="11">
        <v>1</v>
      </c>
      <c r="L787" s="57" t="s">
        <v>494</v>
      </c>
      <c r="M787" s="58" t="s">
        <v>220</v>
      </c>
      <c r="N787" s="58" t="s">
        <v>236</v>
      </c>
      <c r="O787" s="58" t="s">
        <v>37</v>
      </c>
      <c r="P787" s="3"/>
      <c r="Q787" s="126">
        <f t="shared" si="76"/>
        <v>0</v>
      </c>
      <c r="R787" s="126">
        <f t="shared" si="76"/>
        <v>0</v>
      </c>
      <c r="S787" s="126">
        <f t="shared" si="76"/>
        <v>0</v>
      </c>
    </row>
    <row r="788" spans="8:19" ht="18.75" hidden="1">
      <c r="H788" s="26" t="s">
        <v>303</v>
      </c>
      <c r="I788" s="135"/>
      <c r="J788" s="11">
        <v>10</v>
      </c>
      <c r="K788" s="11">
        <v>1</v>
      </c>
      <c r="L788" s="57" t="s">
        <v>494</v>
      </c>
      <c r="M788" s="58" t="s">
        <v>220</v>
      </c>
      <c r="N788" s="58" t="s">
        <v>236</v>
      </c>
      <c r="O788" s="58" t="s">
        <v>37</v>
      </c>
      <c r="P788" s="3">
        <v>310</v>
      </c>
      <c r="Q788" s="126">
        <f>'приложение 5'!Q654</f>
        <v>0</v>
      </c>
      <c r="R788" s="126">
        <f>'приложение 5'!R654</f>
        <v>0</v>
      </c>
      <c r="S788" s="126">
        <f>'приложение 5'!S654</f>
        <v>0</v>
      </c>
    </row>
    <row r="789" spans="8:19" ht="31.5" hidden="1">
      <c r="H789" s="2" t="s">
        <v>898</v>
      </c>
      <c r="I789" s="263"/>
      <c r="J789" s="58" t="s">
        <v>230</v>
      </c>
      <c r="K789" s="57" t="s">
        <v>221</v>
      </c>
      <c r="L789" s="57" t="s">
        <v>494</v>
      </c>
      <c r="M789" s="58" t="s">
        <v>220</v>
      </c>
      <c r="N789" s="58" t="s">
        <v>237</v>
      </c>
      <c r="O789" s="58" t="s">
        <v>261</v>
      </c>
      <c r="P789" s="257"/>
      <c r="Q789" s="126">
        <f aca="true" t="shared" si="77" ref="Q789:S790">Q790</f>
        <v>0</v>
      </c>
      <c r="R789" s="126">
        <f t="shared" si="77"/>
        <v>0</v>
      </c>
      <c r="S789" s="126">
        <f t="shared" si="77"/>
        <v>0</v>
      </c>
    </row>
    <row r="790" spans="8:19" ht="18.75" hidden="1">
      <c r="H790" s="70" t="s">
        <v>556</v>
      </c>
      <c r="I790" s="344"/>
      <c r="J790" s="4">
        <v>10</v>
      </c>
      <c r="K790" s="11">
        <v>1</v>
      </c>
      <c r="L790" s="57" t="s">
        <v>494</v>
      </c>
      <c r="M790" s="58" t="s">
        <v>220</v>
      </c>
      <c r="N790" s="58" t="s">
        <v>237</v>
      </c>
      <c r="O790" s="58" t="s">
        <v>37</v>
      </c>
      <c r="P790" s="3"/>
      <c r="Q790" s="126">
        <f t="shared" si="77"/>
        <v>0</v>
      </c>
      <c r="R790" s="126">
        <f t="shared" si="77"/>
        <v>0</v>
      </c>
      <c r="S790" s="126">
        <f t="shared" si="77"/>
        <v>0</v>
      </c>
    </row>
    <row r="791" spans="8:19" ht="18.75" hidden="1">
      <c r="H791" s="26" t="s">
        <v>303</v>
      </c>
      <c r="I791" s="133"/>
      <c r="J791" s="4">
        <v>10</v>
      </c>
      <c r="K791" s="11">
        <v>1</v>
      </c>
      <c r="L791" s="57" t="s">
        <v>494</v>
      </c>
      <c r="M791" s="58" t="s">
        <v>220</v>
      </c>
      <c r="N791" s="58" t="s">
        <v>237</v>
      </c>
      <c r="O791" s="58" t="s">
        <v>37</v>
      </c>
      <c r="P791" s="3">
        <v>310</v>
      </c>
      <c r="Q791" s="126">
        <f>'приложение 5'!Q1004</f>
        <v>0</v>
      </c>
      <c r="R791" s="126">
        <f>'приложение 5'!R1004</f>
        <v>0</v>
      </c>
      <c r="S791" s="126">
        <f>'приложение 5'!S1004</f>
        <v>0</v>
      </c>
    </row>
    <row r="792" spans="8:19" ht="31.5" hidden="1">
      <c r="H792" s="2" t="s">
        <v>895</v>
      </c>
      <c r="I792" s="263"/>
      <c r="J792" s="13">
        <v>10</v>
      </c>
      <c r="K792" s="11">
        <v>1</v>
      </c>
      <c r="L792" s="57" t="s">
        <v>494</v>
      </c>
      <c r="M792" s="58" t="s">
        <v>220</v>
      </c>
      <c r="N792" s="58" t="s">
        <v>232</v>
      </c>
      <c r="O792" s="58" t="s">
        <v>261</v>
      </c>
      <c r="P792" s="3"/>
      <c r="Q792" s="126">
        <f aca="true" t="shared" si="78" ref="Q792:S793">Q793</f>
        <v>0</v>
      </c>
      <c r="R792" s="126">
        <f t="shared" si="78"/>
        <v>0</v>
      </c>
      <c r="S792" s="126">
        <f t="shared" si="78"/>
        <v>0</v>
      </c>
    </row>
    <row r="793" spans="8:19" ht="18.75" hidden="1">
      <c r="H793" s="2" t="s">
        <v>556</v>
      </c>
      <c r="I793" s="265"/>
      <c r="J793" s="4">
        <v>10</v>
      </c>
      <c r="K793" s="11">
        <v>1</v>
      </c>
      <c r="L793" s="57" t="s">
        <v>494</v>
      </c>
      <c r="M793" s="58" t="s">
        <v>220</v>
      </c>
      <c r="N793" s="58" t="s">
        <v>232</v>
      </c>
      <c r="O793" s="58" t="s">
        <v>37</v>
      </c>
      <c r="P793" s="7"/>
      <c r="Q793" s="124">
        <f t="shared" si="78"/>
        <v>0</v>
      </c>
      <c r="R793" s="124">
        <f t="shared" si="78"/>
        <v>0</v>
      </c>
      <c r="S793" s="124">
        <f t="shared" si="78"/>
        <v>0</v>
      </c>
    </row>
    <row r="794" spans="8:19" ht="18.75" hidden="1">
      <c r="H794" s="26" t="s">
        <v>303</v>
      </c>
      <c r="I794" s="133"/>
      <c r="J794" s="4">
        <v>10</v>
      </c>
      <c r="K794" s="11">
        <v>1</v>
      </c>
      <c r="L794" s="57" t="s">
        <v>494</v>
      </c>
      <c r="M794" s="58" t="s">
        <v>220</v>
      </c>
      <c r="N794" s="58" t="s">
        <v>232</v>
      </c>
      <c r="O794" s="58" t="s">
        <v>37</v>
      </c>
      <c r="P794" s="3">
        <v>310</v>
      </c>
      <c r="Q794" s="126">
        <f>'приложение 5'!Q1095</f>
        <v>0</v>
      </c>
      <c r="R794" s="126">
        <f>'приложение 5'!R1095</f>
        <v>0</v>
      </c>
      <c r="S794" s="126">
        <f>'приложение 5'!S1095</f>
        <v>0</v>
      </c>
    </row>
    <row r="795" spans="8:19" ht="63">
      <c r="H795" s="2" t="s">
        <v>956</v>
      </c>
      <c r="I795" s="263"/>
      <c r="J795" s="11">
        <v>10</v>
      </c>
      <c r="K795" s="11">
        <v>1</v>
      </c>
      <c r="L795" s="57" t="s">
        <v>494</v>
      </c>
      <c r="M795" s="58" t="s">
        <v>220</v>
      </c>
      <c r="N795" s="58" t="s">
        <v>225</v>
      </c>
      <c r="O795" s="58" t="s">
        <v>261</v>
      </c>
      <c r="P795" s="7"/>
      <c r="Q795" s="124">
        <f aca="true" t="shared" si="79" ref="Q795:S796">Q796</f>
        <v>4130</v>
      </c>
      <c r="R795" s="124">
        <f t="shared" si="79"/>
        <v>4130</v>
      </c>
      <c r="S795" s="124">
        <f t="shared" si="79"/>
        <v>4130</v>
      </c>
    </row>
    <row r="796" spans="8:19" ht="18.75">
      <c r="H796" s="2" t="s">
        <v>556</v>
      </c>
      <c r="I796" s="281"/>
      <c r="J796" s="11">
        <v>10</v>
      </c>
      <c r="K796" s="11">
        <v>1</v>
      </c>
      <c r="L796" s="57" t="s">
        <v>494</v>
      </c>
      <c r="M796" s="58" t="s">
        <v>220</v>
      </c>
      <c r="N796" s="58" t="s">
        <v>225</v>
      </c>
      <c r="O796" s="58" t="s">
        <v>37</v>
      </c>
      <c r="P796" s="7"/>
      <c r="Q796" s="124">
        <f t="shared" si="79"/>
        <v>4130</v>
      </c>
      <c r="R796" s="124">
        <f t="shared" si="79"/>
        <v>4130</v>
      </c>
      <c r="S796" s="124">
        <f t="shared" si="79"/>
        <v>4130</v>
      </c>
    </row>
    <row r="797" spans="8:19" ht="18.75">
      <c r="H797" s="2" t="s">
        <v>303</v>
      </c>
      <c r="I797" s="263"/>
      <c r="J797" s="11">
        <v>10</v>
      </c>
      <c r="K797" s="11">
        <v>1</v>
      </c>
      <c r="L797" s="57" t="s">
        <v>494</v>
      </c>
      <c r="M797" s="58" t="s">
        <v>220</v>
      </c>
      <c r="N797" s="58" t="s">
        <v>225</v>
      </c>
      <c r="O797" s="58" t="s">
        <v>37</v>
      </c>
      <c r="P797" s="7">
        <v>310</v>
      </c>
      <c r="Q797" s="124">
        <f>'приложение 5'!Q413</f>
        <v>4130</v>
      </c>
      <c r="R797" s="124">
        <f>'приложение 5'!R413</f>
        <v>4130</v>
      </c>
      <c r="S797" s="124">
        <f>'приложение 5'!S413</f>
        <v>4130</v>
      </c>
    </row>
    <row r="798" spans="8:19" ht="19.5">
      <c r="H798" s="227" t="s">
        <v>249</v>
      </c>
      <c r="I798" s="297"/>
      <c r="J798" s="86">
        <v>10</v>
      </c>
      <c r="K798" s="86">
        <v>3</v>
      </c>
      <c r="L798" s="87"/>
      <c r="M798" s="88"/>
      <c r="N798" s="88"/>
      <c r="O798" s="88"/>
      <c r="P798" s="85"/>
      <c r="Q798" s="123">
        <f>Q805+Q813+Q799+Q809</f>
        <v>17084.7</v>
      </c>
      <c r="R798" s="123">
        <f>R805+R813+R799+R809</f>
        <v>5766.2</v>
      </c>
      <c r="S798" s="123">
        <f>S805+S813+S799+S809</f>
        <v>4265</v>
      </c>
    </row>
    <row r="799" spans="8:19" ht="31.5">
      <c r="H799" s="2" t="s">
        <v>520</v>
      </c>
      <c r="I799" s="263"/>
      <c r="J799" s="11">
        <v>10</v>
      </c>
      <c r="K799" s="11">
        <v>3</v>
      </c>
      <c r="L799" s="57" t="s">
        <v>236</v>
      </c>
      <c r="M799" s="58" t="s">
        <v>220</v>
      </c>
      <c r="N799" s="58" t="s">
        <v>229</v>
      </c>
      <c r="O799" s="58" t="s">
        <v>261</v>
      </c>
      <c r="P799" s="7"/>
      <c r="Q799" s="124">
        <f>Q800</f>
        <v>504</v>
      </c>
      <c r="R799" s="124">
        <f>R800</f>
        <v>480</v>
      </c>
      <c r="S799" s="124">
        <f>S800</f>
        <v>444</v>
      </c>
    </row>
    <row r="800" spans="8:19" ht="18.75">
      <c r="H800" s="2" t="s">
        <v>521</v>
      </c>
      <c r="I800" s="281"/>
      <c r="J800" s="11">
        <v>10</v>
      </c>
      <c r="K800" s="11">
        <v>3</v>
      </c>
      <c r="L800" s="57" t="s">
        <v>236</v>
      </c>
      <c r="M800" s="58" t="s">
        <v>220</v>
      </c>
      <c r="N800" s="58" t="s">
        <v>237</v>
      </c>
      <c r="O800" s="58" t="s">
        <v>261</v>
      </c>
      <c r="P800" s="7"/>
      <c r="Q800" s="124">
        <f>Q801+Q803</f>
        <v>504</v>
      </c>
      <c r="R800" s="124">
        <f>R801+R803</f>
        <v>480</v>
      </c>
      <c r="S800" s="124">
        <f>S801+S803</f>
        <v>444</v>
      </c>
    </row>
    <row r="801" spans="8:19" ht="31.5">
      <c r="H801" s="2" t="s">
        <v>0</v>
      </c>
      <c r="I801" s="263"/>
      <c r="J801" s="11">
        <v>10</v>
      </c>
      <c r="K801" s="11">
        <v>3</v>
      </c>
      <c r="L801" s="57" t="s">
        <v>236</v>
      </c>
      <c r="M801" s="58" t="s">
        <v>220</v>
      </c>
      <c r="N801" s="58" t="s">
        <v>237</v>
      </c>
      <c r="O801" s="58" t="s">
        <v>1</v>
      </c>
      <c r="P801" s="7"/>
      <c r="Q801" s="124">
        <f>Q802</f>
        <v>132</v>
      </c>
      <c r="R801" s="124">
        <f>R802</f>
        <v>108</v>
      </c>
      <c r="S801" s="124">
        <f>S802</f>
        <v>72</v>
      </c>
    </row>
    <row r="802" spans="8:19" ht="18.75">
      <c r="H802" s="2" t="s">
        <v>303</v>
      </c>
      <c r="I802" s="263"/>
      <c r="J802" s="11">
        <v>10</v>
      </c>
      <c r="K802" s="11">
        <v>3</v>
      </c>
      <c r="L802" s="57" t="s">
        <v>236</v>
      </c>
      <c r="M802" s="58" t="s">
        <v>220</v>
      </c>
      <c r="N802" s="58" t="s">
        <v>237</v>
      </c>
      <c r="O802" s="58" t="s">
        <v>1</v>
      </c>
      <c r="P802" s="7">
        <v>310</v>
      </c>
      <c r="Q802" s="124">
        <f>'приложение 5'!Q418</f>
        <v>132</v>
      </c>
      <c r="R802" s="124">
        <f>'приложение 5'!R418</f>
        <v>108</v>
      </c>
      <c r="S802" s="124">
        <f>'приложение 5'!S418</f>
        <v>72</v>
      </c>
    </row>
    <row r="803" spans="8:19" ht="18.75">
      <c r="H803" s="2" t="s">
        <v>469</v>
      </c>
      <c r="I803" s="281"/>
      <c r="J803" s="11">
        <v>10</v>
      </c>
      <c r="K803" s="11">
        <v>3</v>
      </c>
      <c r="L803" s="57" t="s">
        <v>236</v>
      </c>
      <c r="M803" s="58" t="s">
        <v>220</v>
      </c>
      <c r="N803" s="58" t="s">
        <v>237</v>
      </c>
      <c r="O803" s="58" t="s">
        <v>501</v>
      </c>
      <c r="P803" s="7"/>
      <c r="Q803" s="124">
        <f>Q804</f>
        <v>372</v>
      </c>
      <c r="R803" s="124">
        <f>R804</f>
        <v>372</v>
      </c>
      <c r="S803" s="124">
        <f>S804</f>
        <v>372</v>
      </c>
    </row>
    <row r="804" spans="8:19" ht="18.75">
      <c r="H804" s="2" t="s">
        <v>467</v>
      </c>
      <c r="I804" s="263"/>
      <c r="J804" s="11">
        <v>10</v>
      </c>
      <c r="K804" s="11">
        <v>3</v>
      </c>
      <c r="L804" s="57" t="s">
        <v>236</v>
      </c>
      <c r="M804" s="58" t="s">
        <v>220</v>
      </c>
      <c r="N804" s="58" t="s">
        <v>237</v>
      </c>
      <c r="O804" s="58" t="s">
        <v>501</v>
      </c>
      <c r="P804" s="7">
        <v>330</v>
      </c>
      <c r="Q804" s="124">
        <f>+'приложение 5'!Q420</f>
        <v>372</v>
      </c>
      <c r="R804" s="124">
        <f>+'приложение 5'!R420</f>
        <v>372</v>
      </c>
      <c r="S804" s="124">
        <f>+'приложение 5'!S420</f>
        <v>372</v>
      </c>
    </row>
    <row r="805" spans="8:19" ht="18.75">
      <c r="H805" s="25" t="s">
        <v>550</v>
      </c>
      <c r="I805" s="348"/>
      <c r="J805" s="11">
        <v>10</v>
      </c>
      <c r="K805" s="11">
        <v>3</v>
      </c>
      <c r="L805" s="57" t="s">
        <v>230</v>
      </c>
      <c r="M805" s="58" t="s">
        <v>220</v>
      </c>
      <c r="N805" s="58" t="s">
        <v>229</v>
      </c>
      <c r="O805" s="58" t="s">
        <v>261</v>
      </c>
      <c r="P805" s="7"/>
      <c r="Q805" s="124">
        <f>Q806</f>
        <v>1166.6</v>
      </c>
      <c r="R805" s="124">
        <f aca="true" t="shared" si="80" ref="R805:S807">R806</f>
        <v>1036.2</v>
      </c>
      <c r="S805" s="124">
        <f t="shared" si="80"/>
        <v>971</v>
      </c>
    </row>
    <row r="806" spans="8:19" ht="18.75">
      <c r="H806" s="25" t="s">
        <v>819</v>
      </c>
      <c r="I806" s="348"/>
      <c r="J806" s="11">
        <v>10</v>
      </c>
      <c r="K806" s="11">
        <v>3</v>
      </c>
      <c r="L806" s="57" t="s">
        <v>230</v>
      </c>
      <c r="M806" s="58" t="s">
        <v>220</v>
      </c>
      <c r="N806" s="58" t="s">
        <v>232</v>
      </c>
      <c r="O806" s="58" t="s">
        <v>261</v>
      </c>
      <c r="P806" s="7"/>
      <c r="Q806" s="124">
        <f>Q807</f>
        <v>1166.6</v>
      </c>
      <c r="R806" s="124">
        <f t="shared" si="80"/>
        <v>1036.2</v>
      </c>
      <c r="S806" s="124">
        <f t="shared" si="80"/>
        <v>971</v>
      </c>
    </row>
    <row r="807" spans="8:19" ht="18.75">
      <c r="H807" s="25" t="s">
        <v>286</v>
      </c>
      <c r="I807" s="348"/>
      <c r="J807" s="11">
        <v>10</v>
      </c>
      <c r="K807" s="11">
        <v>3</v>
      </c>
      <c r="L807" s="57" t="s">
        <v>230</v>
      </c>
      <c r="M807" s="58" t="s">
        <v>220</v>
      </c>
      <c r="N807" s="58" t="s">
        <v>232</v>
      </c>
      <c r="O807" s="58" t="s">
        <v>15</v>
      </c>
      <c r="P807" s="7"/>
      <c r="Q807" s="124">
        <f>Q808</f>
        <v>1166.6</v>
      </c>
      <c r="R807" s="124">
        <f t="shared" si="80"/>
        <v>1036.2</v>
      </c>
      <c r="S807" s="124">
        <f t="shared" si="80"/>
        <v>971</v>
      </c>
    </row>
    <row r="808" spans="8:19" ht="18.75">
      <c r="H808" s="25" t="s">
        <v>304</v>
      </c>
      <c r="I808" s="348"/>
      <c r="J808" s="11">
        <v>10</v>
      </c>
      <c r="K808" s="11">
        <v>3</v>
      </c>
      <c r="L808" s="57" t="s">
        <v>230</v>
      </c>
      <c r="M808" s="58" t="s">
        <v>220</v>
      </c>
      <c r="N808" s="58" t="s">
        <v>232</v>
      </c>
      <c r="O808" s="58" t="s">
        <v>15</v>
      </c>
      <c r="P808" s="7">
        <v>320</v>
      </c>
      <c r="Q808" s="124">
        <f>'приложение 5'!Q424</f>
        <v>1166.6</v>
      </c>
      <c r="R808" s="124">
        <f>'приложение 5'!R424</f>
        <v>1036.2</v>
      </c>
      <c r="S808" s="124">
        <f>'приложение 5'!S424</f>
        <v>971</v>
      </c>
    </row>
    <row r="809" spans="8:19" ht="31.5">
      <c r="H809" s="2" t="s">
        <v>580</v>
      </c>
      <c r="I809" s="265"/>
      <c r="J809" s="4">
        <v>10</v>
      </c>
      <c r="K809" s="11">
        <v>3</v>
      </c>
      <c r="L809" s="11">
        <v>15</v>
      </c>
      <c r="M809" s="58" t="s">
        <v>220</v>
      </c>
      <c r="N809" s="58" t="s">
        <v>229</v>
      </c>
      <c r="O809" s="58" t="s">
        <v>261</v>
      </c>
      <c r="P809" s="3"/>
      <c r="Q809" s="126">
        <f aca="true" t="shared" si="81" ref="Q809:S811">Q810</f>
        <v>1809.1</v>
      </c>
      <c r="R809" s="126">
        <f t="shared" si="81"/>
        <v>2400</v>
      </c>
      <c r="S809" s="126">
        <f t="shared" si="81"/>
        <v>2400</v>
      </c>
    </row>
    <row r="810" spans="8:19" ht="47.25">
      <c r="H810" s="2" t="s">
        <v>415</v>
      </c>
      <c r="I810" s="263"/>
      <c r="J810" s="4">
        <v>10</v>
      </c>
      <c r="K810" s="11">
        <v>3</v>
      </c>
      <c r="L810" s="11">
        <v>15</v>
      </c>
      <c r="M810" s="58" t="s">
        <v>220</v>
      </c>
      <c r="N810" s="58" t="s">
        <v>414</v>
      </c>
      <c r="O810" s="58" t="s">
        <v>261</v>
      </c>
      <c r="P810" s="3"/>
      <c r="Q810" s="126">
        <f t="shared" si="81"/>
        <v>1809.1</v>
      </c>
      <c r="R810" s="126">
        <f t="shared" si="81"/>
        <v>2400</v>
      </c>
      <c r="S810" s="126">
        <f t="shared" si="81"/>
        <v>2400</v>
      </c>
    </row>
    <row r="811" spans="8:19" ht="63">
      <c r="H811" s="2" t="s">
        <v>32</v>
      </c>
      <c r="I811" s="263"/>
      <c r="J811" s="4">
        <v>10</v>
      </c>
      <c r="K811" s="11">
        <v>3</v>
      </c>
      <c r="L811" s="11">
        <v>15</v>
      </c>
      <c r="M811" s="58" t="s">
        <v>220</v>
      </c>
      <c r="N811" s="58" t="s">
        <v>414</v>
      </c>
      <c r="O811" s="58" t="s">
        <v>331</v>
      </c>
      <c r="P811" s="3"/>
      <c r="Q811" s="126">
        <f t="shared" si="81"/>
        <v>1809.1</v>
      </c>
      <c r="R811" s="126">
        <f t="shared" si="81"/>
        <v>2400</v>
      </c>
      <c r="S811" s="126">
        <f t="shared" si="81"/>
        <v>2400</v>
      </c>
    </row>
    <row r="812" spans="8:19" ht="18.75">
      <c r="H812" s="2" t="s">
        <v>304</v>
      </c>
      <c r="I812" s="263"/>
      <c r="J812" s="4">
        <v>10</v>
      </c>
      <c r="K812" s="11">
        <v>3</v>
      </c>
      <c r="L812" s="11">
        <v>15</v>
      </c>
      <c r="M812" s="58" t="s">
        <v>220</v>
      </c>
      <c r="N812" s="58" t="s">
        <v>414</v>
      </c>
      <c r="O812" s="58" t="s">
        <v>331</v>
      </c>
      <c r="P812" s="3">
        <v>320</v>
      </c>
      <c r="Q812" s="126">
        <f>'приложение 5'!Q725</f>
        <v>1809.1</v>
      </c>
      <c r="R812" s="126">
        <f>'приложение 5'!R725</f>
        <v>2400</v>
      </c>
      <c r="S812" s="126">
        <f>'приложение 5'!S725</f>
        <v>2400</v>
      </c>
    </row>
    <row r="813" spans="8:19" ht="31.5">
      <c r="H813" s="2" t="s">
        <v>522</v>
      </c>
      <c r="I813" s="263"/>
      <c r="J813" s="11">
        <v>10</v>
      </c>
      <c r="K813" s="11">
        <v>3</v>
      </c>
      <c r="L813" s="57" t="s">
        <v>494</v>
      </c>
      <c r="M813" s="58" t="s">
        <v>220</v>
      </c>
      <c r="N813" s="58" t="s">
        <v>229</v>
      </c>
      <c r="O813" s="58" t="s">
        <v>261</v>
      </c>
      <c r="P813" s="7"/>
      <c r="Q813" s="124">
        <f>Q814+Q817</f>
        <v>13605</v>
      </c>
      <c r="R813" s="124">
        <f>R817+R814</f>
        <v>1850</v>
      </c>
      <c r="S813" s="124">
        <f>S817+S814</f>
        <v>450</v>
      </c>
    </row>
    <row r="814" spans="8:19" ht="31.5">
      <c r="H814" s="2" t="str">
        <f>'приложение 5'!H426</f>
        <v>Основное мероприятие "Осуществление администрацией округа переданных отдельных государственных полномочий"</v>
      </c>
      <c r="I814" s="263">
        <f>'приложение 5'!I426</f>
        <v>668</v>
      </c>
      <c r="J814" s="11">
        <f>'приложение 5'!J426</f>
        <v>10</v>
      </c>
      <c r="K814" s="11">
        <f>'приложение 5'!K426</f>
        <v>3</v>
      </c>
      <c r="L814" s="57" t="str">
        <f>'приложение 5'!L426</f>
        <v>16</v>
      </c>
      <c r="M814" s="58" t="str">
        <f>'приложение 5'!M426</f>
        <v>0</v>
      </c>
      <c r="N814" s="58" t="str">
        <f>'приложение 5'!N426</f>
        <v>05</v>
      </c>
      <c r="O814" s="58" t="str">
        <f>'приложение 5'!O426</f>
        <v>00000</v>
      </c>
      <c r="P814" s="7" t="s">
        <v>262</v>
      </c>
      <c r="Q814" s="124">
        <f>'приложение 5'!Q426</f>
        <v>0</v>
      </c>
      <c r="R814" s="124">
        <f>'приложение 5'!R426</f>
        <v>1400</v>
      </c>
      <c r="S814" s="124">
        <f>'приложение 5'!S426</f>
        <v>0</v>
      </c>
    </row>
    <row r="815" spans="8:19" ht="47.25">
      <c r="H815" s="2" t="str">
        <f>'приложение 5'!H427</f>
        <v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v>
      </c>
      <c r="I815" s="263">
        <f>'приложение 5'!I427</f>
        <v>668</v>
      </c>
      <c r="J815" s="11">
        <f>'приложение 5'!J427</f>
        <v>10</v>
      </c>
      <c r="K815" s="11">
        <f>'приложение 5'!K427</f>
        <v>3</v>
      </c>
      <c r="L815" s="57" t="str">
        <f>'приложение 5'!L427</f>
        <v>16</v>
      </c>
      <c r="M815" s="58" t="str">
        <f>'приложение 5'!M427</f>
        <v>0</v>
      </c>
      <c r="N815" s="58" t="str">
        <f>'приложение 5'!N427</f>
        <v>05</v>
      </c>
      <c r="O815" s="58" t="str">
        <f>'приложение 5'!O427</f>
        <v>51760</v>
      </c>
      <c r="P815" s="7" t="s">
        <v>262</v>
      </c>
      <c r="Q815" s="124">
        <f>'приложение 5'!Q427</f>
        <v>0</v>
      </c>
      <c r="R815" s="124">
        <f>'приложение 5'!R427</f>
        <v>1400</v>
      </c>
      <c r="S815" s="124">
        <f>'приложение 5'!S427</f>
        <v>0</v>
      </c>
    </row>
    <row r="816" spans="8:19" ht="18.75">
      <c r="H816" s="2" t="str">
        <f>'приложение 5'!H428</f>
        <v>Социальные выплаты гражданам, кроме публичных нормативных социальных выплат</v>
      </c>
      <c r="I816" s="263">
        <f>'приложение 5'!I428</f>
        <v>668</v>
      </c>
      <c r="J816" s="11">
        <f>'приложение 5'!J428</f>
        <v>10</v>
      </c>
      <c r="K816" s="11">
        <f>'приложение 5'!K428</f>
        <v>3</v>
      </c>
      <c r="L816" s="57" t="str">
        <f>'приложение 5'!L428</f>
        <v>16</v>
      </c>
      <c r="M816" s="58" t="str">
        <f>'приложение 5'!M428</f>
        <v>0</v>
      </c>
      <c r="N816" s="58" t="str">
        <f>'приложение 5'!N428</f>
        <v>05</v>
      </c>
      <c r="O816" s="58" t="str">
        <f>'приложение 5'!O428</f>
        <v>51760</v>
      </c>
      <c r="P816" s="7">
        <f>'приложение 5'!P428</f>
        <v>320</v>
      </c>
      <c r="Q816" s="124">
        <f>'приложение 5'!Q428</f>
        <v>0</v>
      </c>
      <c r="R816" s="124">
        <f>'приложение 5'!R428</f>
        <v>1400</v>
      </c>
      <c r="S816" s="124">
        <f>'приложение 5'!S428</f>
        <v>0</v>
      </c>
    </row>
    <row r="817" spans="8:19" ht="63">
      <c r="H817" s="2" t="s">
        <v>956</v>
      </c>
      <c r="I817" s="263"/>
      <c r="J817" s="11">
        <v>10</v>
      </c>
      <c r="K817" s="11">
        <v>3</v>
      </c>
      <c r="L817" s="57" t="s">
        <v>494</v>
      </c>
      <c r="M817" s="58" t="s">
        <v>220</v>
      </c>
      <c r="N817" s="58" t="s">
        <v>225</v>
      </c>
      <c r="O817" s="58" t="s">
        <v>261</v>
      </c>
      <c r="P817" s="7"/>
      <c r="Q817" s="124">
        <f>Q818+Q820+Q823+Q825</f>
        <v>13605</v>
      </c>
      <c r="R817" s="124">
        <f>R818+R820+R823+R825</f>
        <v>450</v>
      </c>
      <c r="S817" s="124">
        <f>S818+S820+S823+S825</f>
        <v>450</v>
      </c>
    </row>
    <row r="818" spans="8:19" ht="18.75">
      <c r="H818" s="2" t="s">
        <v>39</v>
      </c>
      <c r="I818" s="263"/>
      <c r="J818" s="11">
        <v>10</v>
      </c>
      <c r="K818" s="11">
        <v>3</v>
      </c>
      <c r="L818" s="57" t="s">
        <v>494</v>
      </c>
      <c r="M818" s="58" t="s">
        <v>220</v>
      </c>
      <c r="N818" s="58" t="s">
        <v>225</v>
      </c>
      <c r="O818" s="58" t="s">
        <v>38</v>
      </c>
      <c r="P818" s="7"/>
      <c r="Q818" s="124">
        <f>Q819</f>
        <v>450</v>
      </c>
      <c r="R818" s="124">
        <f>R819+R822</f>
        <v>450</v>
      </c>
      <c r="S818" s="124">
        <f>S819+S822</f>
        <v>450</v>
      </c>
    </row>
    <row r="819" spans="8:19" ht="18.75">
      <c r="H819" s="2" t="s">
        <v>303</v>
      </c>
      <c r="I819" s="263"/>
      <c r="J819" s="11">
        <v>10</v>
      </c>
      <c r="K819" s="11">
        <v>3</v>
      </c>
      <c r="L819" s="57" t="s">
        <v>494</v>
      </c>
      <c r="M819" s="58" t="s">
        <v>220</v>
      </c>
      <c r="N819" s="58" t="s">
        <v>225</v>
      </c>
      <c r="O819" s="58" t="s">
        <v>38</v>
      </c>
      <c r="P819" s="7">
        <v>310</v>
      </c>
      <c r="Q819" s="124">
        <f>'приложение 5'!Q431</f>
        <v>450</v>
      </c>
      <c r="R819" s="124">
        <f>'приложение 5'!R431</f>
        <v>450</v>
      </c>
      <c r="S819" s="124">
        <f>'приложение 5'!S431</f>
        <v>450</v>
      </c>
    </row>
    <row r="820" spans="8:19" ht="31.5">
      <c r="H820" s="2" t="s">
        <v>955</v>
      </c>
      <c r="I820" s="263"/>
      <c r="J820" s="11">
        <v>10</v>
      </c>
      <c r="K820" s="11">
        <v>3</v>
      </c>
      <c r="L820" s="57" t="s">
        <v>494</v>
      </c>
      <c r="M820" s="58" t="s">
        <v>220</v>
      </c>
      <c r="N820" s="58" t="s">
        <v>225</v>
      </c>
      <c r="O820" s="58" t="s">
        <v>954</v>
      </c>
      <c r="P820" s="3"/>
      <c r="Q820" s="126">
        <f>Q821+Q822</f>
        <v>12680</v>
      </c>
      <c r="R820" s="126">
        <f>R821</f>
        <v>0</v>
      </c>
      <c r="S820" s="126">
        <f>S821</f>
        <v>0</v>
      </c>
    </row>
    <row r="821" spans="8:19" ht="18.75" hidden="1">
      <c r="H821" s="2" t="s">
        <v>304</v>
      </c>
      <c r="I821" s="263"/>
      <c r="J821" s="11">
        <v>10</v>
      </c>
      <c r="K821" s="11">
        <v>3</v>
      </c>
      <c r="L821" s="57" t="s">
        <v>494</v>
      </c>
      <c r="M821" s="58" t="s">
        <v>220</v>
      </c>
      <c r="N821" s="58" t="s">
        <v>225</v>
      </c>
      <c r="O821" s="58" t="s">
        <v>954</v>
      </c>
      <c r="P821" s="3">
        <v>320</v>
      </c>
      <c r="Q821" s="126">
        <f>'приложение 5'!Q433</f>
        <v>0</v>
      </c>
      <c r="R821" s="126">
        <f>'приложение 5'!R433</f>
        <v>0</v>
      </c>
      <c r="S821" s="126">
        <f>'приложение 5'!S433</f>
        <v>0</v>
      </c>
    </row>
    <row r="822" spans="8:19" ht="18.75">
      <c r="H822" s="25" t="s">
        <v>304</v>
      </c>
      <c r="I822" s="263"/>
      <c r="J822" s="11">
        <v>10</v>
      </c>
      <c r="K822" s="11">
        <v>3</v>
      </c>
      <c r="L822" s="57" t="s">
        <v>494</v>
      </c>
      <c r="M822" s="58" t="s">
        <v>220</v>
      </c>
      <c r="N822" s="58" t="s">
        <v>225</v>
      </c>
      <c r="O822" s="58" t="s">
        <v>954</v>
      </c>
      <c r="P822" s="3">
        <v>320</v>
      </c>
      <c r="Q822" s="126">
        <f>'приложение 5'!Q434</f>
        <v>12680</v>
      </c>
      <c r="R822" s="126">
        <f>'приложение 5'!R434</f>
        <v>0</v>
      </c>
      <c r="S822" s="126">
        <f>'приложение 5'!S434</f>
        <v>0</v>
      </c>
    </row>
    <row r="823" spans="8:19" ht="31.5">
      <c r="H823" s="25" t="s">
        <v>1042</v>
      </c>
      <c r="I823" s="263"/>
      <c r="J823" s="11">
        <v>10</v>
      </c>
      <c r="K823" s="11">
        <v>3</v>
      </c>
      <c r="L823" s="57" t="s">
        <v>494</v>
      </c>
      <c r="M823" s="58" t="s">
        <v>220</v>
      </c>
      <c r="N823" s="58" t="s">
        <v>225</v>
      </c>
      <c r="O823" s="58" t="s">
        <v>1041</v>
      </c>
      <c r="P823" s="3"/>
      <c r="Q823" s="126">
        <f>Q824</f>
        <v>350</v>
      </c>
      <c r="R823" s="126">
        <f>R824</f>
        <v>0</v>
      </c>
      <c r="S823" s="126">
        <f>S824</f>
        <v>0</v>
      </c>
    </row>
    <row r="824" spans="8:19" ht="18.75">
      <c r="H824" s="25" t="s">
        <v>304</v>
      </c>
      <c r="I824" s="263"/>
      <c r="J824" s="11">
        <v>10</v>
      </c>
      <c r="K824" s="11">
        <v>3</v>
      </c>
      <c r="L824" s="57" t="s">
        <v>494</v>
      </c>
      <c r="M824" s="58" t="s">
        <v>220</v>
      </c>
      <c r="N824" s="58" t="s">
        <v>225</v>
      </c>
      <c r="O824" s="58" t="s">
        <v>1041</v>
      </c>
      <c r="P824" s="3">
        <v>320</v>
      </c>
      <c r="Q824" s="126">
        <f>'приложение 5'!Q436</f>
        <v>350</v>
      </c>
      <c r="R824" s="126">
        <f>'приложение 5'!R436</f>
        <v>0</v>
      </c>
      <c r="S824" s="126">
        <f>'приложение 5'!S436</f>
        <v>0</v>
      </c>
    </row>
    <row r="825" spans="8:19" ht="31.5">
      <c r="H825" s="25" t="s">
        <v>1079</v>
      </c>
      <c r="I825" s="263"/>
      <c r="J825" s="11">
        <v>10</v>
      </c>
      <c r="K825" s="11">
        <v>3</v>
      </c>
      <c r="L825" s="57" t="s">
        <v>494</v>
      </c>
      <c r="M825" s="58" t="s">
        <v>220</v>
      </c>
      <c r="N825" s="58" t="s">
        <v>225</v>
      </c>
      <c r="O825" s="58" t="s">
        <v>1078</v>
      </c>
      <c r="P825" s="3"/>
      <c r="Q825" s="126">
        <f>Q826</f>
        <v>125</v>
      </c>
      <c r="R825" s="126">
        <f>R826</f>
        <v>0</v>
      </c>
      <c r="S825" s="126">
        <f>S826</f>
        <v>0</v>
      </c>
    </row>
    <row r="826" spans="8:19" ht="18.75">
      <c r="H826" s="25" t="s">
        <v>304</v>
      </c>
      <c r="I826" s="263"/>
      <c r="J826" s="11">
        <v>10</v>
      </c>
      <c r="K826" s="11">
        <v>3</v>
      </c>
      <c r="L826" s="57" t="s">
        <v>494</v>
      </c>
      <c r="M826" s="58" t="s">
        <v>220</v>
      </c>
      <c r="N826" s="58" t="s">
        <v>225</v>
      </c>
      <c r="O826" s="58" t="s">
        <v>1078</v>
      </c>
      <c r="P826" s="3">
        <v>320</v>
      </c>
      <c r="Q826" s="126">
        <f>'приложение 5'!Q438</f>
        <v>125</v>
      </c>
      <c r="R826" s="126">
        <f>'приложение 5'!R438</f>
        <v>0</v>
      </c>
      <c r="S826" s="126">
        <f>'приложение 5'!S438</f>
        <v>0</v>
      </c>
    </row>
    <row r="827" spans="8:19" ht="19.5" hidden="1">
      <c r="H827" s="225" t="s">
        <v>78</v>
      </c>
      <c r="I827" s="349"/>
      <c r="J827" s="95">
        <v>10</v>
      </c>
      <c r="K827" s="86">
        <v>4</v>
      </c>
      <c r="L827" s="87"/>
      <c r="M827" s="88"/>
      <c r="N827" s="88"/>
      <c r="O827" s="88"/>
      <c r="P827" s="93"/>
      <c r="Q827" s="127">
        <f>Q828</f>
        <v>0</v>
      </c>
      <c r="R827" s="127">
        <f aca="true" t="shared" si="82" ref="R827:S829">R828</f>
        <v>0</v>
      </c>
      <c r="S827" s="127">
        <f t="shared" si="82"/>
        <v>0</v>
      </c>
    </row>
    <row r="828" spans="8:19" ht="31.5" hidden="1">
      <c r="H828" s="2" t="s">
        <v>581</v>
      </c>
      <c r="I828" s="267"/>
      <c r="J828" s="4">
        <v>10</v>
      </c>
      <c r="K828" s="11">
        <v>4</v>
      </c>
      <c r="L828" s="57" t="s">
        <v>232</v>
      </c>
      <c r="M828" s="58" t="s">
        <v>220</v>
      </c>
      <c r="N828" s="58" t="s">
        <v>229</v>
      </c>
      <c r="O828" s="58" t="s">
        <v>261</v>
      </c>
      <c r="P828" s="3"/>
      <c r="Q828" s="126">
        <f>Q829</f>
        <v>0</v>
      </c>
      <c r="R828" s="126">
        <f t="shared" si="82"/>
        <v>0</v>
      </c>
      <c r="S828" s="126">
        <f t="shared" si="82"/>
        <v>0</v>
      </c>
    </row>
    <row r="829" spans="8:19" ht="18.75" hidden="1">
      <c r="H829" s="2" t="s">
        <v>270</v>
      </c>
      <c r="I829" s="267"/>
      <c r="J829" s="4">
        <v>10</v>
      </c>
      <c r="K829" s="11">
        <v>4</v>
      </c>
      <c r="L829" s="57" t="s">
        <v>232</v>
      </c>
      <c r="M829" s="58" t="s">
        <v>220</v>
      </c>
      <c r="N829" s="58" t="s">
        <v>221</v>
      </c>
      <c r="O829" s="58" t="s">
        <v>261</v>
      </c>
      <c r="P829" s="3"/>
      <c r="Q829" s="126">
        <f>Q830</f>
        <v>0</v>
      </c>
      <c r="R829" s="126">
        <f t="shared" si="82"/>
        <v>0</v>
      </c>
      <c r="S829" s="126">
        <f t="shared" si="82"/>
        <v>0</v>
      </c>
    </row>
    <row r="830" spans="8:19" ht="47.25" hidden="1">
      <c r="H830" s="2" t="s">
        <v>52</v>
      </c>
      <c r="I830" s="267"/>
      <c r="J830" s="4">
        <v>10</v>
      </c>
      <c r="K830" s="11">
        <v>4</v>
      </c>
      <c r="L830" s="57" t="s">
        <v>232</v>
      </c>
      <c r="M830" s="58" t="s">
        <v>220</v>
      </c>
      <c r="N830" s="58" t="s">
        <v>221</v>
      </c>
      <c r="O830" s="58" t="s">
        <v>51</v>
      </c>
      <c r="P830" s="3"/>
      <c r="Q830" s="126">
        <f>Q831+Q832</f>
        <v>0</v>
      </c>
      <c r="R830" s="126">
        <f>R831+R832</f>
        <v>0</v>
      </c>
      <c r="S830" s="126">
        <f>S831+S832</f>
        <v>0</v>
      </c>
    </row>
    <row r="831" spans="8:19" ht="18.75" hidden="1">
      <c r="H831" s="2" t="s">
        <v>299</v>
      </c>
      <c r="I831" s="265"/>
      <c r="J831" s="4">
        <v>10</v>
      </c>
      <c r="K831" s="11">
        <v>4</v>
      </c>
      <c r="L831" s="57" t="s">
        <v>232</v>
      </c>
      <c r="M831" s="58" t="s">
        <v>220</v>
      </c>
      <c r="N831" s="58" t="s">
        <v>221</v>
      </c>
      <c r="O831" s="58" t="s">
        <v>51</v>
      </c>
      <c r="P831" s="3">
        <v>240</v>
      </c>
      <c r="Q831" s="126">
        <v>0</v>
      </c>
      <c r="R831" s="126">
        <v>0</v>
      </c>
      <c r="S831" s="126">
        <v>0</v>
      </c>
    </row>
    <row r="832" spans="8:19" ht="18.75" hidden="1">
      <c r="H832" s="2" t="s">
        <v>304</v>
      </c>
      <c r="I832" s="265"/>
      <c r="J832" s="4">
        <v>10</v>
      </c>
      <c r="K832" s="11">
        <v>4</v>
      </c>
      <c r="L832" s="57" t="s">
        <v>232</v>
      </c>
      <c r="M832" s="58" t="s">
        <v>220</v>
      </c>
      <c r="N832" s="58" t="s">
        <v>221</v>
      </c>
      <c r="O832" s="58" t="s">
        <v>51</v>
      </c>
      <c r="P832" s="3">
        <v>320</v>
      </c>
      <c r="Q832" s="126">
        <v>0</v>
      </c>
      <c r="R832" s="126">
        <v>0</v>
      </c>
      <c r="S832" s="126">
        <v>0</v>
      </c>
    </row>
    <row r="833" spans="8:19" ht="19.5">
      <c r="H833" s="225" t="s">
        <v>207</v>
      </c>
      <c r="I833" s="306"/>
      <c r="J833" s="86">
        <v>10</v>
      </c>
      <c r="K833" s="86">
        <v>6</v>
      </c>
      <c r="L833" s="87"/>
      <c r="M833" s="88"/>
      <c r="N833" s="88"/>
      <c r="O833" s="88"/>
      <c r="P833" s="85"/>
      <c r="Q833" s="123">
        <f>Q834+Q843</f>
        <v>1623.3999999999999</v>
      </c>
      <c r="R833" s="123">
        <f>R834+R843</f>
        <v>1642.3999999999999</v>
      </c>
      <c r="S833" s="123">
        <f>S834+S843</f>
        <v>1642.3999999999999</v>
      </c>
    </row>
    <row r="834" spans="8:19" ht="31.5">
      <c r="H834" s="2" t="s">
        <v>522</v>
      </c>
      <c r="I834" s="263"/>
      <c r="J834" s="11">
        <v>10</v>
      </c>
      <c r="K834" s="11">
        <v>6</v>
      </c>
      <c r="L834" s="57" t="s">
        <v>494</v>
      </c>
      <c r="M834" s="58" t="s">
        <v>220</v>
      </c>
      <c r="N834" s="58" t="s">
        <v>229</v>
      </c>
      <c r="O834" s="58" t="s">
        <v>261</v>
      </c>
      <c r="P834" s="7"/>
      <c r="Q834" s="124">
        <f>Q835+Q839</f>
        <v>1573.3999999999999</v>
      </c>
      <c r="R834" s="124">
        <f>R835+R839</f>
        <v>1592.3999999999999</v>
      </c>
      <c r="S834" s="124">
        <f>S835+S839</f>
        <v>1592.3999999999999</v>
      </c>
    </row>
    <row r="835" spans="8:19" ht="31.5">
      <c r="H835" s="2" t="s">
        <v>524</v>
      </c>
      <c r="I835" s="281"/>
      <c r="J835" s="11">
        <v>10</v>
      </c>
      <c r="K835" s="11">
        <v>6</v>
      </c>
      <c r="L835" s="57" t="s">
        <v>494</v>
      </c>
      <c r="M835" s="58" t="s">
        <v>220</v>
      </c>
      <c r="N835" s="58" t="s">
        <v>223</v>
      </c>
      <c r="O835" s="58" t="s">
        <v>261</v>
      </c>
      <c r="P835" s="7"/>
      <c r="Q835" s="124">
        <f>Q836</f>
        <v>1492.3999999999999</v>
      </c>
      <c r="R835" s="124">
        <f>R836</f>
        <v>1492.3999999999999</v>
      </c>
      <c r="S835" s="124">
        <f>S836</f>
        <v>1492.3999999999999</v>
      </c>
    </row>
    <row r="836" spans="8:19" ht="18.75">
      <c r="H836" s="2" t="s">
        <v>342</v>
      </c>
      <c r="I836" s="281"/>
      <c r="J836" s="11">
        <v>10</v>
      </c>
      <c r="K836" s="11">
        <v>6</v>
      </c>
      <c r="L836" s="57" t="s">
        <v>494</v>
      </c>
      <c r="M836" s="58" t="s">
        <v>220</v>
      </c>
      <c r="N836" s="58" t="s">
        <v>223</v>
      </c>
      <c r="O836" s="58" t="s">
        <v>341</v>
      </c>
      <c r="P836" s="7"/>
      <c r="Q836" s="124">
        <f>Q837+Q838</f>
        <v>1492.3999999999999</v>
      </c>
      <c r="R836" s="124">
        <f>R837+R838</f>
        <v>1492.3999999999999</v>
      </c>
      <c r="S836" s="124">
        <f>S837+S838</f>
        <v>1492.3999999999999</v>
      </c>
    </row>
    <row r="837" spans="8:19" ht="18.75">
      <c r="H837" s="2" t="s">
        <v>204</v>
      </c>
      <c r="I837" s="263"/>
      <c r="J837" s="11">
        <v>10</v>
      </c>
      <c r="K837" s="11">
        <v>6</v>
      </c>
      <c r="L837" s="57" t="s">
        <v>494</v>
      </c>
      <c r="M837" s="58" t="s">
        <v>220</v>
      </c>
      <c r="N837" s="58" t="s">
        <v>223</v>
      </c>
      <c r="O837" s="58" t="s">
        <v>341</v>
      </c>
      <c r="P837" s="7">
        <v>120</v>
      </c>
      <c r="Q837" s="124">
        <f>'приложение 5'!Q443</f>
        <v>1455.3999999999999</v>
      </c>
      <c r="R837" s="124">
        <f>'приложение 5'!R443</f>
        <v>1448.6</v>
      </c>
      <c r="S837" s="124">
        <f>'приложение 5'!S443</f>
        <v>1448.6</v>
      </c>
    </row>
    <row r="838" spans="8:19" ht="18.75">
      <c r="H838" s="2" t="s">
        <v>299</v>
      </c>
      <c r="I838" s="281"/>
      <c r="J838" s="11">
        <v>10</v>
      </c>
      <c r="K838" s="11">
        <v>6</v>
      </c>
      <c r="L838" s="57" t="s">
        <v>494</v>
      </c>
      <c r="M838" s="58" t="s">
        <v>220</v>
      </c>
      <c r="N838" s="58" t="s">
        <v>223</v>
      </c>
      <c r="O838" s="58" t="s">
        <v>341</v>
      </c>
      <c r="P838" s="7">
        <v>240</v>
      </c>
      <c r="Q838" s="124">
        <f>'приложение 5'!Q444</f>
        <v>37</v>
      </c>
      <c r="R838" s="124">
        <f>'приложение 5'!R444</f>
        <v>43.8</v>
      </c>
      <c r="S838" s="124">
        <f>'приложение 5'!S444</f>
        <v>43.8</v>
      </c>
    </row>
    <row r="839" spans="8:19" ht="63">
      <c r="H839" s="2" t="s">
        <v>956</v>
      </c>
      <c r="I839" s="281"/>
      <c r="J839" s="11">
        <v>10</v>
      </c>
      <c r="K839" s="11">
        <v>6</v>
      </c>
      <c r="L839" s="57" t="s">
        <v>494</v>
      </c>
      <c r="M839" s="58" t="s">
        <v>220</v>
      </c>
      <c r="N839" s="58" t="s">
        <v>225</v>
      </c>
      <c r="O839" s="58" t="s">
        <v>261</v>
      </c>
      <c r="P839" s="7"/>
      <c r="Q839" s="124">
        <f>Q840</f>
        <v>81</v>
      </c>
      <c r="R839" s="124">
        <f>R840</f>
        <v>100</v>
      </c>
      <c r="S839" s="124">
        <f>S840</f>
        <v>100</v>
      </c>
    </row>
    <row r="840" spans="8:19" ht="18.75">
      <c r="H840" s="2" t="s">
        <v>384</v>
      </c>
      <c r="I840" s="281"/>
      <c r="J840" s="11">
        <v>10</v>
      </c>
      <c r="K840" s="11">
        <v>6</v>
      </c>
      <c r="L840" s="57" t="s">
        <v>494</v>
      </c>
      <c r="M840" s="58" t="s">
        <v>220</v>
      </c>
      <c r="N840" s="58" t="s">
        <v>225</v>
      </c>
      <c r="O840" s="58" t="s">
        <v>910</v>
      </c>
      <c r="P840" s="7"/>
      <c r="Q840" s="124">
        <f>Q841+Q842</f>
        <v>81</v>
      </c>
      <c r="R840" s="124">
        <f>R841+R842</f>
        <v>100</v>
      </c>
      <c r="S840" s="124">
        <f>S841+S842</f>
        <v>100</v>
      </c>
    </row>
    <row r="841" spans="8:19" ht="18.75">
      <c r="H841" s="2" t="s">
        <v>299</v>
      </c>
      <c r="I841" s="281"/>
      <c r="J841" s="11">
        <v>10</v>
      </c>
      <c r="K841" s="11">
        <v>6</v>
      </c>
      <c r="L841" s="57" t="s">
        <v>494</v>
      </c>
      <c r="M841" s="58" t="s">
        <v>220</v>
      </c>
      <c r="N841" s="58" t="s">
        <v>225</v>
      </c>
      <c r="O841" s="58" t="s">
        <v>910</v>
      </c>
      <c r="P841" s="7">
        <v>240</v>
      </c>
      <c r="Q841" s="124">
        <f>'приложение 5'!Q447</f>
        <v>81</v>
      </c>
      <c r="R841" s="124">
        <f>'приложение 5'!R447</f>
        <v>100</v>
      </c>
      <c r="S841" s="124">
        <f>'приложение 5'!S447</f>
        <v>100</v>
      </c>
    </row>
    <row r="842" spans="8:19" ht="18.75" hidden="1">
      <c r="H842" s="2" t="s">
        <v>911</v>
      </c>
      <c r="I842" s="281"/>
      <c r="J842" s="11">
        <v>10</v>
      </c>
      <c r="K842" s="11">
        <v>6</v>
      </c>
      <c r="L842" s="57" t="s">
        <v>494</v>
      </c>
      <c r="M842" s="58" t="s">
        <v>220</v>
      </c>
      <c r="N842" s="58" t="s">
        <v>225</v>
      </c>
      <c r="O842" s="58" t="s">
        <v>910</v>
      </c>
      <c r="P842" s="7">
        <v>350</v>
      </c>
      <c r="Q842" s="124">
        <f>'приложение 5'!Q448</f>
        <v>0</v>
      </c>
      <c r="R842" s="124">
        <f>'приложение 5'!R448</f>
        <v>0</v>
      </c>
      <c r="S842" s="124">
        <f>'приложение 5'!S448</f>
        <v>0</v>
      </c>
    </row>
    <row r="843" spans="8:19" ht="31.5">
      <c r="H843" s="2" t="s">
        <v>557</v>
      </c>
      <c r="I843" s="281"/>
      <c r="J843" s="11">
        <v>10</v>
      </c>
      <c r="K843" s="11">
        <v>6</v>
      </c>
      <c r="L843" s="57" t="s">
        <v>502</v>
      </c>
      <c r="M843" s="58" t="s">
        <v>220</v>
      </c>
      <c r="N843" s="58" t="s">
        <v>229</v>
      </c>
      <c r="O843" s="58" t="s">
        <v>261</v>
      </c>
      <c r="P843" s="7"/>
      <c r="Q843" s="124">
        <f>Q844</f>
        <v>50</v>
      </c>
      <c r="R843" s="124">
        <f aca="true" t="shared" si="83" ref="R843:S845">R844</f>
        <v>50</v>
      </c>
      <c r="S843" s="124">
        <f t="shared" si="83"/>
        <v>50</v>
      </c>
    </row>
    <row r="844" spans="8:19" ht="31.5">
      <c r="H844" s="2" t="s">
        <v>958</v>
      </c>
      <c r="I844" s="263"/>
      <c r="J844" s="11">
        <v>10</v>
      </c>
      <c r="K844" s="11">
        <v>6</v>
      </c>
      <c r="L844" s="57" t="s">
        <v>502</v>
      </c>
      <c r="M844" s="58" t="s">
        <v>220</v>
      </c>
      <c r="N844" s="58" t="s">
        <v>221</v>
      </c>
      <c r="O844" s="58" t="s">
        <v>261</v>
      </c>
      <c r="P844" s="7"/>
      <c r="Q844" s="124">
        <f>Q845</f>
        <v>50</v>
      </c>
      <c r="R844" s="124">
        <f t="shared" si="83"/>
        <v>50</v>
      </c>
      <c r="S844" s="124">
        <f t="shared" si="83"/>
        <v>50</v>
      </c>
    </row>
    <row r="845" spans="8:19" ht="18.75">
      <c r="H845" s="2" t="s">
        <v>470</v>
      </c>
      <c r="I845" s="281"/>
      <c r="J845" s="11">
        <v>10</v>
      </c>
      <c r="K845" s="11">
        <v>6</v>
      </c>
      <c r="L845" s="57" t="s">
        <v>502</v>
      </c>
      <c r="M845" s="58" t="s">
        <v>220</v>
      </c>
      <c r="N845" s="58" t="s">
        <v>221</v>
      </c>
      <c r="O845" s="58" t="s">
        <v>503</v>
      </c>
      <c r="P845" s="7"/>
      <c r="Q845" s="124">
        <f>Q846</f>
        <v>50</v>
      </c>
      <c r="R845" s="124">
        <f t="shared" si="83"/>
        <v>50</v>
      </c>
      <c r="S845" s="124">
        <f t="shared" si="83"/>
        <v>50</v>
      </c>
    </row>
    <row r="846" spans="8:19" ht="31.5">
      <c r="H846" s="2" t="s">
        <v>449</v>
      </c>
      <c r="I846" s="281"/>
      <c r="J846" s="11">
        <v>10</v>
      </c>
      <c r="K846" s="11">
        <v>6</v>
      </c>
      <c r="L846" s="57" t="s">
        <v>502</v>
      </c>
      <c r="M846" s="58" t="s">
        <v>220</v>
      </c>
      <c r="N846" s="58" t="s">
        <v>221</v>
      </c>
      <c r="O846" s="58" t="s">
        <v>503</v>
      </c>
      <c r="P846" s="7">
        <v>630</v>
      </c>
      <c r="Q846" s="124">
        <f>'приложение 5'!Q452</f>
        <v>50</v>
      </c>
      <c r="R846" s="124">
        <f>'приложение 5'!R452</f>
        <v>50</v>
      </c>
      <c r="S846" s="124">
        <f>'приложение 5'!S452</f>
        <v>50</v>
      </c>
    </row>
    <row r="847" spans="8:19" ht="19.5">
      <c r="H847" s="244" t="s">
        <v>250</v>
      </c>
      <c r="I847" s="345"/>
      <c r="J847" s="86">
        <v>11</v>
      </c>
      <c r="K847" s="86" t="s">
        <v>262</v>
      </c>
      <c r="L847" s="87"/>
      <c r="M847" s="88"/>
      <c r="N847" s="88"/>
      <c r="O847" s="88"/>
      <c r="P847" s="85"/>
      <c r="Q847" s="123">
        <f>Q848</f>
        <v>26148.1</v>
      </c>
      <c r="R847" s="123">
        <f>R848</f>
        <v>17023.7</v>
      </c>
      <c r="S847" s="123">
        <f>S848</f>
        <v>17574</v>
      </c>
    </row>
    <row r="848" spans="8:19" ht="19.5">
      <c r="H848" s="244" t="s">
        <v>251</v>
      </c>
      <c r="I848" s="345"/>
      <c r="J848" s="86">
        <v>11</v>
      </c>
      <c r="K848" s="86">
        <v>1</v>
      </c>
      <c r="L848" s="87"/>
      <c r="M848" s="88"/>
      <c r="N848" s="88"/>
      <c r="O848" s="88"/>
      <c r="P848" s="85"/>
      <c r="Q848" s="123">
        <f>Q853+Q849</f>
        <v>26148.1</v>
      </c>
      <c r="R848" s="123">
        <f>R853+R849</f>
        <v>17023.7</v>
      </c>
      <c r="S848" s="123">
        <f>S853+S849</f>
        <v>17574</v>
      </c>
    </row>
    <row r="849" spans="8:19" ht="31.5">
      <c r="H849" s="25" t="s">
        <v>583</v>
      </c>
      <c r="I849" s="350"/>
      <c r="J849" s="11">
        <v>11</v>
      </c>
      <c r="K849" s="11">
        <v>1</v>
      </c>
      <c r="L849" s="57" t="s">
        <v>221</v>
      </c>
      <c r="M849" s="58" t="s">
        <v>220</v>
      </c>
      <c r="N849" s="58" t="s">
        <v>229</v>
      </c>
      <c r="O849" s="58" t="s">
        <v>261</v>
      </c>
      <c r="P849" s="7"/>
      <c r="Q849" s="124">
        <f>Q850</f>
        <v>14.7</v>
      </c>
      <c r="R849" s="124">
        <f aca="true" t="shared" si="84" ref="R849:S851">R850</f>
        <v>90</v>
      </c>
      <c r="S849" s="124">
        <f t="shared" si="84"/>
        <v>90</v>
      </c>
    </row>
    <row r="850" spans="8:19" ht="31.5">
      <c r="H850" s="25" t="s">
        <v>289</v>
      </c>
      <c r="I850" s="350"/>
      <c r="J850" s="11">
        <v>11</v>
      </c>
      <c r="K850" s="11">
        <v>1</v>
      </c>
      <c r="L850" s="57" t="s">
        <v>221</v>
      </c>
      <c r="M850" s="58" t="s">
        <v>220</v>
      </c>
      <c r="N850" s="58" t="s">
        <v>232</v>
      </c>
      <c r="O850" s="58" t="s">
        <v>261</v>
      </c>
      <c r="P850" s="7"/>
      <c r="Q850" s="124">
        <f>Q851</f>
        <v>14.7</v>
      </c>
      <c r="R850" s="124">
        <f t="shared" si="84"/>
        <v>90</v>
      </c>
      <c r="S850" s="124">
        <f t="shared" si="84"/>
        <v>90</v>
      </c>
    </row>
    <row r="851" spans="8:19" ht="18.75">
      <c r="H851" s="303" t="s">
        <v>43</v>
      </c>
      <c r="I851" s="350"/>
      <c r="J851" s="11">
        <v>11</v>
      </c>
      <c r="K851" s="11">
        <v>1</v>
      </c>
      <c r="L851" s="57" t="s">
        <v>221</v>
      </c>
      <c r="M851" s="58" t="s">
        <v>220</v>
      </c>
      <c r="N851" s="58" t="s">
        <v>232</v>
      </c>
      <c r="O851" s="58" t="s">
        <v>42</v>
      </c>
      <c r="P851" s="7"/>
      <c r="Q851" s="124">
        <f>Q852</f>
        <v>14.7</v>
      </c>
      <c r="R851" s="124">
        <f t="shared" si="84"/>
        <v>90</v>
      </c>
      <c r="S851" s="124">
        <f t="shared" si="84"/>
        <v>90</v>
      </c>
    </row>
    <row r="852" spans="8:19" ht="18.75">
      <c r="H852" s="25" t="s">
        <v>301</v>
      </c>
      <c r="I852" s="350"/>
      <c r="J852" s="11">
        <v>11</v>
      </c>
      <c r="K852" s="11">
        <v>1</v>
      </c>
      <c r="L852" s="57" t="s">
        <v>221</v>
      </c>
      <c r="M852" s="58" t="s">
        <v>220</v>
      </c>
      <c r="N852" s="58" t="s">
        <v>232</v>
      </c>
      <c r="O852" s="58" t="s">
        <v>42</v>
      </c>
      <c r="P852" s="7">
        <v>610</v>
      </c>
      <c r="Q852" s="124">
        <f>'приложение 5'!Q458</f>
        <v>14.7</v>
      </c>
      <c r="R852" s="124">
        <f>'приложение 5'!R458</f>
        <v>90</v>
      </c>
      <c r="S852" s="124">
        <f>'приложение 5'!S458</f>
        <v>90</v>
      </c>
    </row>
    <row r="853" spans="8:19" ht="31.5">
      <c r="H853" s="2" t="s">
        <v>558</v>
      </c>
      <c r="I853" s="281"/>
      <c r="J853" s="11">
        <v>11</v>
      </c>
      <c r="K853" s="11">
        <v>1</v>
      </c>
      <c r="L853" s="57" t="s">
        <v>237</v>
      </c>
      <c r="M853" s="58" t="s">
        <v>220</v>
      </c>
      <c r="N853" s="58" t="s">
        <v>229</v>
      </c>
      <c r="O853" s="58" t="s">
        <v>261</v>
      </c>
      <c r="P853" s="7"/>
      <c r="Q853" s="124">
        <f>Q857+Q862+Q854+Q871+Q874</f>
        <v>26133.399999999998</v>
      </c>
      <c r="R853" s="124">
        <f>R857+R862+R854+R871+R874</f>
        <v>16933.7</v>
      </c>
      <c r="S853" s="124">
        <f>S857+S862+S854+S871+S874</f>
        <v>17484</v>
      </c>
    </row>
    <row r="854" spans="8:19" ht="31.5">
      <c r="H854" s="2" t="s">
        <v>382</v>
      </c>
      <c r="I854" s="281"/>
      <c r="J854" s="11">
        <v>11</v>
      </c>
      <c r="K854" s="11">
        <v>1</v>
      </c>
      <c r="L854" s="57" t="s">
        <v>237</v>
      </c>
      <c r="M854" s="58" t="s">
        <v>220</v>
      </c>
      <c r="N854" s="58" t="s">
        <v>221</v>
      </c>
      <c r="O854" s="58" t="s">
        <v>261</v>
      </c>
      <c r="P854" s="7"/>
      <c r="Q854" s="124">
        <f aca="true" t="shared" si="85" ref="Q854:S855">Q855</f>
        <v>160</v>
      </c>
      <c r="R854" s="124">
        <f t="shared" si="85"/>
        <v>160</v>
      </c>
      <c r="S854" s="124">
        <f t="shared" si="85"/>
        <v>160</v>
      </c>
    </row>
    <row r="855" spans="8:19" ht="18.75">
      <c r="H855" s="2" t="s">
        <v>43</v>
      </c>
      <c r="I855" s="281"/>
      <c r="J855" s="11">
        <v>11</v>
      </c>
      <c r="K855" s="11">
        <v>1</v>
      </c>
      <c r="L855" s="57" t="s">
        <v>237</v>
      </c>
      <c r="M855" s="58" t="s">
        <v>220</v>
      </c>
      <c r="N855" s="58" t="s">
        <v>221</v>
      </c>
      <c r="O855" s="58" t="s">
        <v>42</v>
      </c>
      <c r="P855" s="7"/>
      <c r="Q855" s="124">
        <f t="shared" si="85"/>
        <v>160</v>
      </c>
      <c r="R855" s="124">
        <f t="shared" si="85"/>
        <v>160</v>
      </c>
      <c r="S855" s="124">
        <f t="shared" si="85"/>
        <v>160</v>
      </c>
    </row>
    <row r="856" spans="8:19" ht="18.75">
      <c r="H856" s="2" t="s">
        <v>301</v>
      </c>
      <c r="I856" s="281"/>
      <c r="J856" s="11">
        <v>11</v>
      </c>
      <c r="K856" s="11">
        <v>1</v>
      </c>
      <c r="L856" s="57" t="s">
        <v>237</v>
      </c>
      <c r="M856" s="58" t="s">
        <v>220</v>
      </c>
      <c r="N856" s="58" t="s">
        <v>221</v>
      </c>
      <c r="O856" s="58" t="s">
        <v>42</v>
      </c>
      <c r="P856" s="7">
        <v>610</v>
      </c>
      <c r="Q856" s="124">
        <f>'приложение 5'!Q462</f>
        <v>160</v>
      </c>
      <c r="R856" s="124">
        <f>'приложение 5'!R462</f>
        <v>160</v>
      </c>
      <c r="S856" s="124">
        <f>'приложение 5'!S462</f>
        <v>160</v>
      </c>
    </row>
    <row r="857" spans="8:19" ht="18.75">
      <c r="H857" s="2" t="s">
        <v>44</v>
      </c>
      <c r="I857" s="263"/>
      <c r="J857" s="11">
        <v>11</v>
      </c>
      <c r="K857" s="11">
        <v>1</v>
      </c>
      <c r="L857" s="57" t="s">
        <v>237</v>
      </c>
      <c r="M857" s="58" t="s">
        <v>220</v>
      </c>
      <c r="N857" s="58" t="s">
        <v>236</v>
      </c>
      <c r="O857" s="58" t="s">
        <v>261</v>
      </c>
      <c r="P857" s="7"/>
      <c r="Q857" s="124">
        <f>Q858+Q860</f>
        <v>14799.199999999999</v>
      </c>
      <c r="R857" s="124">
        <f>R858+R860</f>
        <v>15446.2</v>
      </c>
      <c r="S857" s="124">
        <f>S858+S860</f>
        <v>15996.5</v>
      </c>
    </row>
    <row r="858" spans="8:19" ht="18.75">
      <c r="H858" s="2" t="s">
        <v>43</v>
      </c>
      <c r="I858" s="281"/>
      <c r="J858" s="11">
        <v>11</v>
      </c>
      <c r="K858" s="11">
        <v>1</v>
      </c>
      <c r="L858" s="57" t="s">
        <v>237</v>
      </c>
      <c r="M858" s="58" t="s">
        <v>220</v>
      </c>
      <c r="N858" s="58" t="s">
        <v>236</v>
      </c>
      <c r="O858" s="58" t="s">
        <v>42</v>
      </c>
      <c r="P858" s="7"/>
      <c r="Q858" s="124">
        <f>Q859</f>
        <v>9466.8</v>
      </c>
      <c r="R858" s="124">
        <f>R859</f>
        <v>9668.6</v>
      </c>
      <c r="S858" s="124">
        <f>S859</f>
        <v>9677.3</v>
      </c>
    </row>
    <row r="859" spans="8:19" ht="18.75">
      <c r="H859" s="2" t="s">
        <v>301</v>
      </c>
      <c r="I859" s="263"/>
      <c r="J859" s="11">
        <v>11</v>
      </c>
      <c r="K859" s="11">
        <v>1</v>
      </c>
      <c r="L859" s="57" t="s">
        <v>237</v>
      </c>
      <c r="M859" s="58" t="s">
        <v>220</v>
      </c>
      <c r="N859" s="58" t="s">
        <v>236</v>
      </c>
      <c r="O859" s="58" t="s">
        <v>42</v>
      </c>
      <c r="P859" s="7">
        <v>610</v>
      </c>
      <c r="Q859" s="124">
        <f>'приложение 5'!Q465</f>
        <v>9466.8</v>
      </c>
      <c r="R859" s="124">
        <f>'приложение 5'!R465</f>
        <v>9668.6</v>
      </c>
      <c r="S859" s="124">
        <f>'приложение 5'!S465</f>
        <v>9677.3</v>
      </c>
    </row>
    <row r="860" spans="8:19" ht="31.5">
      <c r="H860" s="2" t="s">
        <v>374</v>
      </c>
      <c r="I860" s="263"/>
      <c r="J860" s="11">
        <v>11</v>
      </c>
      <c r="K860" s="11">
        <v>1</v>
      </c>
      <c r="L860" s="57" t="s">
        <v>237</v>
      </c>
      <c r="M860" s="58" t="s">
        <v>220</v>
      </c>
      <c r="N860" s="58" t="s">
        <v>236</v>
      </c>
      <c r="O860" s="58" t="s">
        <v>373</v>
      </c>
      <c r="P860" s="7"/>
      <c r="Q860" s="124">
        <f>Q861</f>
        <v>5332.4</v>
      </c>
      <c r="R860" s="124">
        <f>R861</f>
        <v>5777.6</v>
      </c>
      <c r="S860" s="124">
        <f>S861</f>
        <v>6319.2</v>
      </c>
    </row>
    <row r="861" spans="8:19" ht="18.75">
      <c r="H861" s="2" t="s">
        <v>301</v>
      </c>
      <c r="I861" s="263"/>
      <c r="J861" s="11">
        <v>11</v>
      </c>
      <c r="K861" s="11">
        <v>1</v>
      </c>
      <c r="L861" s="57" t="s">
        <v>237</v>
      </c>
      <c r="M861" s="58" t="s">
        <v>220</v>
      </c>
      <c r="N861" s="58" t="s">
        <v>236</v>
      </c>
      <c r="O861" s="58" t="s">
        <v>373</v>
      </c>
      <c r="P861" s="7">
        <v>610</v>
      </c>
      <c r="Q861" s="124">
        <f>'приложение 5'!Q467</f>
        <v>5332.4</v>
      </c>
      <c r="R861" s="124">
        <f>'приложение 5'!R467</f>
        <v>5777.6</v>
      </c>
      <c r="S861" s="124">
        <f>'приложение 5'!S467</f>
        <v>6319.2</v>
      </c>
    </row>
    <row r="862" spans="8:19" ht="31.5">
      <c r="H862" s="2" t="s">
        <v>448</v>
      </c>
      <c r="I862" s="281"/>
      <c r="J862" s="11">
        <v>11</v>
      </c>
      <c r="K862" s="11">
        <v>1</v>
      </c>
      <c r="L862" s="57" t="s">
        <v>237</v>
      </c>
      <c r="M862" s="58" t="s">
        <v>220</v>
      </c>
      <c r="N862" s="58" t="s">
        <v>237</v>
      </c>
      <c r="O862" s="58" t="s">
        <v>261</v>
      </c>
      <c r="P862" s="7"/>
      <c r="Q862" s="124">
        <f>Q863+Q865+Q867+Q869</f>
        <v>8142.2</v>
      </c>
      <c r="R862" s="124">
        <f>R863+R865+R867+R869</f>
        <v>666.7</v>
      </c>
      <c r="S862" s="124">
        <f>S863+S865+S867+S869</f>
        <v>666.7</v>
      </c>
    </row>
    <row r="863" spans="8:19" ht="31.5" hidden="1">
      <c r="H863" s="304" t="s">
        <v>917</v>
      </c>
      <c r="I863" s="281"/>
      <c r="J863" s="11">
        <v>11</v>
      </c>
      <c r="K863" s="11">
        <v>1</v>
      </c>
      <c r="L863" s="57" t="s">
        <v>237</v>
      </c>
      <c r="M863" s="58" t="s">
        <v>220</v>
      </c>
      <c r="N863" s="58" t="s">
        <v>237</v>
      </c>
      <c r="O863" s="58" t="s">
        <v>918</v>
      </c>
      <c r="P863" s="7"/>
      <c r="Q863" s="124">
        <f>Q864</f>
        <v>0</v>
      </c>
      <c r="R863" s="124">
        <f>R864</f>
        <v>0</v>
      </c>
      <c r="S863" s="124">
        <f>S864</f>
        <v>0</v>
      </c>
    </row>
    <row r="864" spans="8:19" ht="18.75" hidden="1">
      <c r="H864" s="2" t="s">
        <v>301</v>
      </c>
      <c r="I864" s="281"/>
      <c r="J864" s="11">
        <v>11</v>
      </c>
      <c r="K864" s="11">
        <v>1</v>
      </c>
      <c r="L864" s="57" t="s">
        <v>237</v>
      </c>
      <c r="M864" s="58" t="s">
        <v>220</v>
      </c>
      <c r="N864" s="58" t="s">
        <v>237</v>
      </c>
      <c r="O864" s="58" t="s">
        <v>918</v>
      </c>
      <c r="P864" s="7">
        <v>610</v>
      </c>
      <c r="Q864" s="124">
        <f>'приложение 5'!Q470</f>
        <v>0</v>
      </c>
      <c r="R864" s="124">
        <f>'приложение 5'!R470</f>
        <v>0</v>
      </c>
      <c r="S864" s="124">
        <f>'приложение 5'!S470</f>
        <v>0</v>
      </c>
    </row>
    <row r="865" spans="8:19" ht="31.5">
      <c r="H865" s="2" t="s">
        <v>383</v>
      </c>
      <c r="I865" s="263"/>
      <c r="J865" s="11">
        <v>11</v>
      </c>
      <c r="K865" s="11">
        <v>1</v>
      </c>
      <c r="L865" s="57" t="s">
        <v>237</v>
      </c>
      <c r="M865" s="58" t="s">
        <v>220</v>
      </c>
      <c r="N865" s="58" t="s">
        <v>237</v>
      </c>
      <c r="O865" s="58" t="s">
        <v>276</v>
      </c>
      <c r="P865" s="7"/>
      <c r="Q865" s="124">
        <f>Q866</f>
        <v>1000</v>
      </c>
      <c r="R865" s="124">
        <f>R866</f>
        <v>666.7</v>
      </c>
      <c r="S865" s="124">
        <f>S866</f>
        <v>666.7</v>
      </c>
    </row>
    <row r="866" spans="8:19" ht="18.75">
      <c r="H866" s="2" t="s">
        <v>301</v>
      </c>
      <c r="I866" s="263"/>
      <c r="J866" s="11">
        <v>11</v>
      </c>
      <c r="K866" s="11">
        <v>1</v>
      </c>
      <c r="L866" s="57" t="s">
        <v>237</v>
      </c>
      <c r="M866" s="58" t="s">
        <v>220</v>
      </c>
      <c r="N866" s="58" t="s">
        <v>237</v>
      </c>
      <c r="O866" s="58" t="s">
        <v>276</v>
      </c>
      <c r="P866" s="7">
        <v>610</v>
      </c>
      <c r="Q866" s="124">
        <f>'приложение 5'!Q472</f>
        <v>1000</v>
      </c>
      <c r="R866" s="124">
        <f>'приложение 5'!R472</f>
        <v>666.7</v>
      </c>
      <c r="S866" s="124">
        <f>'приложение 5'!S472</f>
        <v>666.7</v>
      </c>
    </row>
    <row r="867" spans="8:19" ht="31.5" hidden="1">
      <c r="H867" s="2" t="str">
        <f>'приложение 5'!H473</f>
        <v>Реализация мероприятий по обустройству объектов городской и сельской инфраструктуры для занятий физической культурой и спортом</v>
      </c>
      <c r="I867" s="263">
        <f>'приложение 5'!I473</f>
        <v>668</v>
      </c>
      <c r="J867" s="11">
        <f>'приложение 5'!J473</f>
        <v>11</v>
      </c>
      <c r="K867" s="11">
        <f>'приложение 5'!K473</f>
        <v>1</v>
      </c>
      <c r="L867" s="57" t="str">
        <f>'приложение 5'!L473</f>
        <v>03</v>
      </c>
      <c r="M867" s="58" t="str">
        <f>'приложение 5'!M473</f>
        <v>0</v>
      </c>
      <c r="N867" s="58" t="str">
        <f>'приложение 5'!N473</f>
        <v>03</v>
      </c>
      <c r="O867" s="58" t="str">
        <f>'приложение 5'!O473</f>
        <v>S3242</v>
      </c>
      <c r="P867" s="7" t="s">
        <v>262</v>
      </c>
      <c r="Q867" s="124">
        <f>'приложение 5'!Q473</f>
        <v>0</v>
      </c>
      <c r="R867" s="124">
        <f>'приложение 5'!R473</f>
        <v>0</v>
      </c>
      <c r="S867" s="124">
        <f>'приложение 5'!S473</f>
        <v>0</v>
      </c>
    </row>
    <row r="868" spans="8:19" ht="18.75" hidden="1">
      <c r="H868" s="2" t="str">
        <f>'приложение 5'!H474</f>
        <v>Субсидии бюджетным учреждениям</v>
      </c>
      <c r="I868" s="263">
        <f>'приложение 5'!I474</f>
        <v>668</v>
      </c>
      <c r="J868" s="11">
        <f>'приложение 5'!J474</f>
        <v>11</v>
      </c>
      <c r="K868" s="11">
        <f>'приложение 5'!K474</f>
        <v>1</v>
      </c>
      <c r="L868" s="57" t="str">
        <f>'приложение 5'!L474</f>
        <v>03</v>
      </c>
      <c r="M868" s="58" t="str">
        <f>'приложение 5'!M474</f>
        <v>0</v>
      </c>
      <c r="N868" s="58" t="str">
        <f>'приложение 5'!N474</f>
        <v>03</v>
      </c>
      <c r="O868" s="58" t="str">
        <f>'приложение 5'!O474</f>
        <v>S3242</v>
      </c>
      <c r="P868" s="7">
        <f>'приложение 5'!P474</f>
        <v>610</v>
      </c>
      <c r="Q868" s="124">
        <f>'приложение 5'!Q474</f>
        <v>0</v>
      </c>
      <c r="R868" s="124">
        <f>'приложение 5'!R474</f>
        <v>0</v>
      </c>
      <c r="S868" s="124">
        <f>'приложение 5'!S474</f>
        <v>0</v>
      </c>
    </row>
    <row r="869" spans="8:19" ht="31.5">
      <c r="H869" s="2" t="s">
        <v>913</v>
      </c>
      <c r="I869" s="263"/>
      <c r="J869" s="11">
        <v>11</v>
      </c>
      <c r="K869" s="11">
        <v>1</v>
      </c>
      <c r="L869" s="57" t="s">
        <v>237</v>
      </c>
      <c r="M869" s="58" t="s">
        <v>220</v>
      </c>
      <c r="N869" s="58" t="s">
        <v>237</v>
      </c>
      <c r="O869" s="58" t="s">
        <v>912</v>
      </c>
      <c r="P869" s="7"/>
      <c r="Q869" s="124">
        <f>Q870</f>
        <v>7142.2</v>
      </c>
      <c r="R869" s="124">
        <f>R870</f>
        <v>0</v>
      </c>
      <c r="S869" s="124">
        <f>S870</f>
        <v>0</v>
      </c>
    </row>
    <row r="870" spans="8:19" ht="18.75">
      <c r="H870" s="2" t="s">
        <v>301</v>
      </c>
      <c r="I870" s="263"/>
      <c r="J870" s="11">
        <v>11</v>
      </c>
      <c r="K870" s="11">
        <v>1</v>
      </c>
      <c r="L870" s="57" t="s">
        <v>237</v>
      </c>
      <c r="M870" s="58" t="s">
        <v>220</v>
      </c>
      <c r="N870" s="58" t="s">
        <v>237</v>
      </c>
      <c r="O870" s="58" t="s">
        <v>912</v>
      </c>
      <c r="P870" s="7">
        <v>610</v>
      </c>
      <c r="Q870" s="124">
        <f>'приложение 5'!Q476</f>
        <v>7142.2</v>
      </c>
      <c r="R870" s="124">
        <f>'приложение 5'!R476</f>
        <v>0</v>
      </c>
      <c r="S870" s="124">
        <f>'приложение 5'!S476</f>
        <v>0</v>
      </c>
    </row>
    <row r="871" spans="8:19" ht="31.5">
      <c r="H871" s="2" t="s">
        <v>970</v>
      </c>
      <c r="I871" s="281"/>
      <c r="J871" s="11">
        <v>11</v>
      </c>
      <c r="K871" s="11">
        <v>1</v>
      </c>
      <c r="L871" s="57" t="s">
        <v>237</v>
      </c>
      <c r="M871" s="58" t="s">
        <v>220</v>
      </c>
      <c r="N871" s="58" t="s">
        <v>971</v>
      </c>
      <c r="O871" s="58" t="s">
        <v>261</v>
      </c>
      <c r="P871" s="7"/>
      <c r="Q871" s="124">
        <f aca="true" t="shared" si="86" ref="Q871:S872">Q872</f>
        <v>388.8</v>
      </c>
      <c r="R871" s="124">
        <f t="shared" si="86"/>
        <v>0</v>
      </c>
      <c r="S871" s="124">
        <f t="shared" si="86"/>
        <v>0</v>
      </c>
    </row>
    <row r="872" spans="8:19" ht="31.5">
      <c r="H872" s="2" t="s">
        <v>973</v>
      </c>
      <c r="I872" s="281"/>
      <c r="J872" s="11">
        <v>11</v>
      </c>
      <c r="K872" s="11">
        <v>1</v>
      </c>
      <c r="L872" s="57" t="s">
        <v>237</v>
      </c>
      <c r="M872" s="58" t="s">
        <v>220</v>
      </c>
      <c r="N872" s="58" t="s">
        <v>971</v>
      </c>
      <c r="O872" s="58" t="s">
        <v>972</v>
      </c>
      <c r="P872" s="7"/>
      <c r="Q872" s="124">
        <f t="shared" si="86"/>
        <v>388.8</v>
      </c>
      <c r="R872" s="124">
        <f t="shared" si="86"/>
        <v>0</v>
      </c>
      <c r="S872" s="124">
        <f t="shared" si="86"/>
        <v>0</v>
      </c>
    </row>
    <row r="873" spans="8:19" ht="18.75">
      <c r="H873" s="2" t="s">
        <v>301</v>
      </c>
      <c r="I873" s="281"/>
      <c r="J873" s="11">
        <v>11</v>
      </c>
      <c r="K873" s="11">
        <v>1</v>
      </c>
      <c r="L873" s="57" t="s">
        <v>237</v>
      </c>
      <c r="M873" s="58" t="s">
        <v>220</v>
      </c>
      <c r="N873" s="58" t="s">
        <v>971</v>
      </c>
      <c r="O873" s="58" t="s">
        <v>972</v>
      </c>
      <c r="P873" s="7">
        <v>610</v>
      </c>
      <c r="Q873" s="124">
        <f>'приложение 5'!Q479</f>
        <v>388.8</v>
      </c>
      <c r="R873" s="124">
        <f>'приложение 5'!R479</f>
        <v>0</v>
      </c>
      <c r="S873" s="124">
        <f>'приложение 5'!S479</f>
        <v>0</v>
      </c>
    </row>
    <row r="874" spans="8:19" ht="31.5">
      <c r="H874" s="2" t="s">
        <v>1045</v>
      </c>
      <c r="I874" s="281"/>
      <c r="J874" s="11">
        <v>11</v>
      </c>
      <c r="K874" s="11">
        <v>1</v>
      </c>
      <c r="L874" s="57" t="s">
        <v>237</v>
      </c>
      <c r="M874" s="58" t="s">
        <v>220</v>
      </c>
      <c r="N874" s="58" t="s">
        <v>223</v>
      </c>
      <c r="O874" s="58" t="s">
        <v>261</v>
      </c>
      <c r="P874" s="3"/>
      <c r="Q874" s="124">
        <f>Q877+Q875</f>
        <v>2643.2</v>
      </c>
      <c r="R874" s="124">
        <f>R877+R875</f>
        <v>660.8000000000001</v>
      </c>
      <c r="S874" s="124">
        <f>S877+S875</f>
        <v>660.8000000000001</v>
      </c>
    </row>
    <row r="875" spans="8:19" ht="18.75">
      <c r="H875" s="2" t="s">
        <v>43</v>
      </c>
      <c r="I875" s="281"/>
      <c r="J875" s="11">
        <v>11</v>
      </c>
      <c r="K875" s="11">
        <v>1</v>
      </c>
      <c r="L875" s="57" t="s">
        <v>237</v>
      </c>
      <c r="M875" s="58" t="s">
        <v>220</v>
      </c>
      <c r="N875" s="58" t="s">
        <v>223</v>
      </c>
      <c r="O875" s="58" t="s">
        <v>42</v>
      </c>
      <c r="P875" s="3"/>
      <c r="Q875" s="124">
        <f>Q876</f>
        <v>1100</v>
      </c>
      <c r="R875" s="124">
        <f>R876</f>
        <v>0</v>
      </c>
      <c r="S875" s="124">
        <f>S876</f>
        <v>0</v>
      </c>
    </row>
    <row r="876" spans="8:19" ht="31.5">
      <c r="H876" s="2" t="s">
        <v>1045</v>
      </c>
      <c r="I876" s="281"/>
      <c r="J876" s="11">
        <v>11</v>
      </c>
      <c r="K876" s="11">
        <v>1</v>
      </c>
      <c r="L876" s="57" t="s">
        <v>237</v>
      </c>
      <c r="M876" s="58" t="s">
        <v>220</v>
      </c>
      <c r="N876" s="58" t="s">
        <v>223</v>
      </c>
      <c r="O876" s="58" t="s">
        <v>42</v>
      </c>
      <c r="P876" s="3">
        <v>610</v>
      </c>
      <c r="Q876" s="124">
        <f>'приложение 5'!Q482</f>
        <v>1100</v>
      </c>
      <c r="R876" s="124">
        <f>'приложение 5'!R482</f>
        <v>0</v>
      </c>
      <c r="S876" s="124">
        <f>'приложение 5'!S482</f>
        <v>0</v>
      </c>
    </row>
    <row r="877" spans="8:19" ht="18.75">
      <c r="H877" s="2" t="s">
        <v>1046</v>
      </c>
      <c r="I877" s="281"/>
      <c r="J877" s="11">
        <v>11</v>
      </c>
      <c r="K877" s="11">
        <v>1</v>
      </c>
      <c r="L877" s="57" t="s">
        <v>237</v>
      </c>
      <c r="M877" s="58" t="s">
        <v>220</v>
      </c>
      <c r="N877" s="58" t="s">
        <v>223</v>
      </c>
      <c r="O877" s="58" t="s">
        <v>1044</v>
      </c>
      <c r="P877" s="3"/>
      <c r="Q877" s="124">
        <f>Q878</f>
        <v>1543.2</v>
      </c>
      <c r="R877" s="124">
        <f>R878</f>
        <v>660.8000000000001</v>
      </c>
      <c r="S877" s="124">
        <f>S878</f>
        <v>660.8000000000001</v>
      </c>
    </row>
    <row r="878" spans="8:19" ht="18.75">
      <c r="H878" s="2" t="s">
        <v>301</v>
      </c>
      <c r="I878" s="281"/>
      <c r="J878" s="11">
        <v>11</v>
      </c>
      <c r="K878" s="11">
        <v>1</v>
      </c>
      <c r="L878" s="57" t="s">
        <v>237</v>
      </c>
      <c r="M878" s="58" t="s">
        <v>220</v>
      </c>
      <c r="N878" s="58" t="s">
        <v>223</v>
      </c>
      <c r="O878" s="58" t="s">
        <v>1044</v>
      </c>
      <c r="P878" s="3">
        <v>610</v>
      </c>
      <c r="Q878" s="124">
        <f>'приложение 5'!Q484</f>
        <v>1543.2</v>
      </c>
      <c r="R878" s="124">
        <f>'приложение 5'!R484</f>
        <v>660.8000000000001</v>
      </c>
      <c r="S878" s="124">
        <f>'приложение 5'!S484</f>
        <v>660.8000000000001</v>
      </c>
    </row>
    <row r="879" spans="8:19" ht="19.5">
      <c r="H879" s="227" t="s">
        <v>964</v>
      </c>
      <c r="I879" s="345"/>
      <c r="J879" s="86">
        <v>12</v>
      </c>
      <c r="K879" s="86" t="s">
        <v>262</v>
      </c>
      <c r="L879" s="87"/>
      <c r="M879" s="88"/>
      <c r="N879" s="88"/>
      <c r="O879" s="88"/>
      <c r="P879" s="85"/>
      <c r="Q879" s="123">
        <f aca="true" t="shared" si="87" ref="Q879:S880">Q880</f>
        <v>2200</v>
      </c>
      <c r="R879" s="123">
        <f>R880</f>
        <v>2400</v>
      </c>
      <c r="S879" s="123">
        <f t="shared" si="87"/>
        <v>2400</v>
      </c>
    </row>
    <row r="880" spans="8:19" ht="19.5">
      <c r="H880" s="225" t="s">
        <v>965</v>
      </c>
      <c r="I880" s="345"/>
      <c r="J880" s="86">
        <v>12</v>
      </c>
      <c r="K880" s="86">
        <v>1</v>
      </c>
      <c r="L880" s="87"/>
      <c r="M880" s="88"/>
      <c r="N880" s="88"/>
      <c r="O880" s="88"/>
      <c r="P880" s="85"/>
      <c r="Q880" s="123">
        <f>Q885+Q881</f>
        <v>2200</v>
      </c>
      <c r="R880" s="124">
        <f>R881</f>
        <v>2400</v>
      </c>
      <c r="S880" s="124">
        <f t="shared" si="87"/>
        <v>2400</v>
      </c>
    </row>
    <row r="881" spans="8:19" ht="31.5">
      <c r="H881" s="2" t="s">
        <v>522</v>
      </c>
      <c r="I881" s="399"/>
      <c r="J881" s="11">
        <v>12</v>
      </c>
      <c r="K881" s="11">
        <v>2</v>
      </c>
      <c r="L881" s="57" t="s">
        <v>494</v>
      </c>
      <c r="M881" s="58" t="s">
        <v>220</v>
      </c>
      <c r="N881" s="58" t="s">
        <v>229</v>
      </c>
      <c r="O881" s="58" t="s">
        <v>261</v>
      </c>
      <c r="P881" s="3"/>
      <c r="Q881" s="124">
        <f>Q882</f>
        <v>2200</v>
      </c>
      <c r="R881" s="124">
        <f>R882</f>
        <v>2400</v>
      </c>
      <c r="S881" s="124">
        <f>S882</f>
        <v>2400</v>
      </c>
    </row>
    <row r="882" spans="8:19" ht="18.75">
      <c r="H882" s="2" t="s">
        <v>966</v>
      </c>
      <c r="I882" s="399"/>
      <c r="J882" s="11">
        <v>12</v>
      </c>
      <c r="K882" s="11">
        <v>2</v>
      </c>
      <c r="L882" s="57" t="s">
        <v>494</v>
      </c>
      <c r="M882" s="58" t="s">
        <v>220</v>
      </c>
      <c r="N882" s="58" t="s">
        <v>219</v>
      </c>
      <c r="O882" s="58" t="s">
        <v>261</v>
      </c>
      <c r="P882" s="7"/>
      <c r="Q882" s="124">
        <f>Q883</f>
        <v>2200</v>
      </c>
      <c r="R882" s="124">
        <f>R883</f>
        <v>2400</v>
      </c>
      <c r="S882" s="124">
        <f>S883</f>
        <v>2400</v>
      </c>
    </row>
    <row r="883" spans="8:19" ht="18.75">
      <c r="H883" s="2" t="s">
        <v>470</v>
      </c>
      <c r="I883" s="399"/>
      <c r="J883" s="11">
        <v>12</v>
      </c>
      <c r="K883" s="11">
        <v>2</v>
      </c>
      <c r="L883" s="57" t="s">
        <v>494</v>
      </c>
      <c r="M883" s="58" t="s">
        <v>220</v>
      </c>
      <c r="N883" s="58" t="s">
        <v>219</v>
      </c>
      <c r="O883" s="58" t="s">
        <v>503</v>
      </c>
      <c r="P883" s="7"/>
      <c r="Q883" s="124">
        <f>Q884</f>
        <v>2200</v>
      </c>
      <c r="R883" s="124">
        <f>R884</f>
        <v>2400</v>
      </c>
      <c r="S883" s="124">
        <f>S884</f>
        <v>2400</v>
      </c>
    </row>
    <row r="884" spans="8:19" ht="31.5">
      <c r="H884" s="2" t="s">
        <v>449</v>
      </c>
      <c r="I884" s="399"/>
      <c r="J884" s="11">
        <v>12</v>
      </c>
      <c r="K884" s="11">
        <v>2</v>
      </c>
      <c r="L884" s="57" t="s">
        <v>494</v>
      </c>
      <c r="M884" s="58" t="s">
        <v>220</v>
      </c>
      <c r="N884" s="58" t="s">
        <v>219</v>
      </c>
      <c r="O884" s="58" t="s">
        <v>503</v>
      </c>
      <c r="P884" s="7">
        <v>630</v>
      </c>
      <c r="Q884" s="124">
        <f>'приложение 5'!Q490</f>
        <v>2200</v>
      </c>
      <c r="R884" s="124">
        <f>'приложение 5'!R490</f>
        <v>2400</v>
      </c>
      <c r="S884" s="124">
        <f>'приложение 5'!S490</f>
        <v>2400</v>
      </c>
    </row>
    <row r="885" spans="8:19" ht="31.5" hidden="1">
      <c r="H885" s="2" t="s">
        <v>557</v>
      </c>
      <c r="I885" s="350"/>
      <c r="J885" s="11">
        <v>12</v>
      </c>
      <c r="K885" s="11">
        <v>1</v>
      </c>
      <c r="L885" s="57" t="s">
        <v>502</v>
      </c>
      <c r="M885" s="58" t="s">
        <v>220</v>
      </c>
      <c r="N885" s="58" t="s">
        <v>229</v>
      </c>
      <c r="O885" s="58" t="s">
        <v>261</v>
      </c>
      <c r="P885" s="7"/>
      <c r="Q885" s="124">
        <f>Q886</f>
        <v>0</v>
      </c>
      <c r="R885" s="124">
        <f aca="true" t="shared" si="88" ref="R885:S887">R886</f>
        <v>0</v>
      </c>
      <c r="S885" s="124">
        <f t="shared" si="88"/>
        <v>0</v>
      </c>
    </row>
    <row r="886" spans="8:19" ht="18.75" hidden="1">
      <c r="H886" s="2" t="s">
        <v>966</v>
      </c>
      <c r="I886" s="350"/>
      <c r="J886" s="11">
        <v>12</v>
      </c>
      <c r="K886" s="11">
        <v>1</v>
      </c>
      <c r="L886" s="57" t="s">
        <v>502</v>
      </c>
      <c r="M886" s="58" t="s">
        <v>220</v>
      </c>
      <c r="N886" s="58" t="s">
        <v>232</v>
      </c>
      <c r="O886" s="58" t="s">
        <v>261</v>
      </c>
      <c r="P886" s="7"/>
      <c r="Q886" s="124">
        <f>Q887</f>
        <v>0</v>
      </c>
      <c r="R886" s="124">
        <f t="shared" si="88"/>
        <v>0</v>
      </c>
      <c r="S886" s="124">
        <f t="shared" si="88"/>
        <v>0</v>
      </c>
    </row>
    <row r="887" spans="8:19" ht="18.75" hidden="1">
      <c r="H887" s="2" t="s">
        <v>470</v>
      </c>
      <c r="I887" s="350"/>
      <c r="J887" s="11">
        <v>12</v>
      </c>
      <c r="K887" s="11">
        <v>1</v>
      </c>
      <c r="L887" s="57" t="s">
        <v>502</v>
      </c>
      <c r="M887" s="58" t="s">
        <v>220</v>
      </c>
      <c r="N887" s="58" t="s">
        <v>232</v>
      </c>
      <c r="O887" s="58" t="s">
        <v>503</v>
      </c>
      <c r="P887" s="7"/>
      <c r="Q887" s="124">
        <f>Q888</f>
        <v>0</v>
      </c>
      <c r="R887" s="124">
        <f t="shared" si="88"/>
        <v>0</v>
      </c>
      <c r="S887" s="124">
        <f t="shared" si="88"/>
        <v>0</v>
      </c>
    </row>
    <row r="888" spans="8:19" ht="31.5" hidden="1">
      <c r="H888" s="2" t="s">
        <v>449</v>
      </c>
      <c r="I888" s="281"/>
      <c r="J888" s="11">
        <v>12</v>
      </c>
      <c r="K888" s="11">
        <v>1</v>
      </c>
      <c r="L888" s="57" t="s">
        <v>502</v>
      </c>
      <c r="M888" s="58" t="s">
        <v>220</v>
      </c>
      <c r="N888" s="58" t="s">
        <v>232</v>
      </c>
      <c r="O888" s="58" t="s">
        <v>503</v>
      </c>
      <c r="P888" s="7">
        <v>630</v>
      </c>
      <c r="Q888" s="124">
        <f>'приложение 5'!Q494</f>
        <v>0</v>
      </c>
      <c r="R888" s="124">
        <f>'приложение 5'!R494</f>
        <v>0</v>
      </c>
      <c r="S888" s="124">
        <f>'приложение 5'!S494</f>
        <v>0</v>
      </c>
    </row>
    <row r="889" spans="8:19" ht="18.75">
      <c r="H889" s="80" t="s">
        <v>203</v>
      </c>
      <c r="I889" s="351"/>
      <c r="J889" s="53"/>
      <c r="K889" s="53"/>
      <c r="L889" s="54"/>
      <c r="M889" s="55"/>
      <c r="N889" s="55"/>
      <c r="O889" s="55"/>
      <c r="P889" s="6"/>
      <c r="Q889" s="122">
        <f>Q15+Q190+Q203+Q252+Q328+Q510+Q543+Q743+Q777+Q783+Q847+Q879</f>
        <v>1707440.5000000002</v>
      </c>
      <c r="R889" s="122">
        <f>R15+R190+R203+R252+R328+R510+R543+R743+R777+R783+R847+R879</f>
        <v>690425.3</v>
      </c>
      <c r="S889" s="122">
        <f>S15+S190+S203+S252+S328+S510+S543+S743+S777+S783+S847+S879</f>
        <v>723310.7000000001</v>
      </c>
    </row>
    <row r="890" spans="8:19" ht="18.75">
      <c r="H890" s="185" t="s">
        <v>363</v>
      </c>
      <c r="I890" s="352"/>
      <c r="J890" s="186"/>
      <c r="K890" s="186"/>
      <c r="L890" s="187"/>
      <c r="M890" s="188"/>
      <c r="N890" s="188"/>
      <c r="O890" s="189"/>
      <c r="P890" s="186"/>
      <c r="Q890" s="190" t="s">
        <v>262</v>
      </c>
      <c r="R890" s="191">
        <f>'приложение 5'!R1097</f>
        <v>9900</v>
      </c>
      <c r="S890" s="191">
        <f>'приложение 5'!S1097</f>
        <v>21000</v>
      </c>
    </row>
    <row r="891" spans="8:19" ht="18.75">
      <c r="H891" s="185" t="s">
        <v>334</v>
      </c>
      <c r="I891" s="352"/>
      <c r="J891" s="186"/>
      <c r="K891" s="186"/>
      <c r="L891" s="187"/>
      <c r="M891" s="188"/>
      <c r="N891" s="188"/>
      <c r="O891" s="189"/>
      <c r="P891" s="186"/>
      <c r="Q891" s="191">
        <f>Q889</f>
        <v>1707440.5000000002</v>
      </c>
      <c r="R891" s="191">
        <f>R889+R890</f>
        <v>700325.3</v>
      </c>
      <c r="S891" s="191">
        <f>S889+S890</f>
        <v>744310.7000000001</v>
      </c>
    </row>
    <row r="893" ht="15.75">
      <c r="S893" s="397" t="s">
        <v>202</v>
      </c>
    </row>
    <row r="896" spans="8:19" ht="15">
      <c r="H896" s="21"/>
      <c r="I896" s="21"/>
      <c r="J896" s="21"/>
      <c r="K896" s="21"/>
      <c r="L896" s="21"/>
      <c r="M896" s="21"/>
      <c r="N896" s="21"/>
      <c r="O896" s="21"/>
      <c r="P896" s="21"/>
      <c r="R896" s="30"/>
      <c r="S896" s="30"/>
    </row>
  </sheetData>
  <sheetProtection/>
  <autoFilter ref="Q15:S891"/>
  <mergeCells count="13">
    <mergeCell ref="L14:O14"/>
    <mergeCell ref="L12:O13"/>
    <mergeCell ref="P12:P13"/>
    <mergeCell ref="Q12:S12"/>
    <mergeCell ref="J4:S4"/>
    <mergeCell ref="J5:S5"/>
    <mergeCell ref="J6:S6"/>
    <mergeCell ref="J7:S7"/>
    <mergeCell ref="J8:S8"/>
    <mergeCell ref="H10:S10"/>
    <mergeCell ref="H12:H13"/>
    <mergeCell ref="J12:J13"/>
    <mergeCell ref="K12:K13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05"/>
  <sheetViews>
    <sheetView showGridLines="0" zoomScale="80" zoomScaleNormal="80" zoomScaleSheetLayoutView="100" workbookViewId="0" topLeftCell="H1">
      <selection activeCell="Q18" sqref="Q18"/>
    </sheetView>
  </sheetViews>
  <sheetFormatPr defaultColWidth="9.140625" defaultRowHeight="15"/>
  <cols>
    <col min="1" max="6" width="0" style="21" hidden="1" customWidth="1"/>
    <col min="7" max="7" width="7.140625" style="21" hidden="1" customWidth="1"/>
    <col min="8" max="8" width="113.140625" style="171" customWidth="1"/>
    <col min="9" max="9" width="7.8515625" style="109" customWidth="1"/>
    <col min="10" max="10" width="5.140625" style="109" customWidth="1"/>
    <col min="11" max="11" width="5.00390625" style="109" customWidth="1"/>
    <col min="12" max="12" width="5.7109375" style="172" customWidth="1"/>
    <col min="13" max="13" width="4.28125" style="172" customWidth="1"/>
    <col min="14" max="14" width="6.57421875" style="172" customWidth="1"/>
    <col min="15" max="15" width="10.28125" style="172" customWidth="1"/>
    <col min="16" max="16" width="9.140625" style="109" customWidth="1"/>
    <col min="17" max="17" width="26.140625" style="30" customWidth="1"/>
    <col min="18" max="18" width="19.140625" style="173" customWidth="1"/>
    <col min="19" max="19" width="20.7109375" style="173" customWidth="1"/>
    <col min="20" max="16384" width="9.140625" style="21" customWidth="1"/>
  </cols>
  <sheetData>
    <row r="1" ht="15.75">
      <c r="I1" s="110" t="s">
        <v>479</v>
      </c>
    </row>
    <row r="2" ht="15.75">
      <c r="I2" s="110" t="s">
        <v>475</v>
      </c>
    </row>
    <row r="3" ht="15.75">
      <c r="I3" s="33" t="s">
        <v>1119</v>
      </c>
    </row>
    <row r="4" spans="8:19" ht="15.75">
      <c r="H4" s="174"/>
      <c r="I4" s="456" t="s">
        <v>1088</v>
      </c>
      <c r="J4" s="456"/>
      <c r="K4" s="456"/>
      <c r="L4" s="456"/>
      <c r="M4" s="456"/>
      <c r="N4" s="456"/>
      <c r="O4" s="456"/>
      <c r="P4" s="456"/>
      <c r="Q4" s="456"/>
      <c r="R4" s="456"/>
      <c r="S4" s="456"/>
    </row>
    <row r="5" spans="9:19" ht="15.75">
      <c r="I5" s="456" t="s">
        <v>484</v>
      </c>
      <c r="J5" s="456"/>
      <c r="K5" s="456"/>
      <c r="L5" s="456"/>
      <c r="M5" s="456"/>
      <c r="N5" s="456"/>
      <c r="O5" s="456"/>
      <c r="P5" s="456"/>
      <c r="Q5" s="456"/>
      <c r="R5" s="456"/>
      <c r="S5" s="456"/>
    </row>
    <row r="6" spans="9:19" ht="15.75">
      <c r="I6" s="456" t="s">
        <v>997</v>
      </c>
      <c r="J6" s="456"/>
      <c r="K6" s="456"/>
      <c r="L6" s="456"/>
      <c r="M6" s="456"/>
      <c r="N6" s="456"/>
      <c r="O6" s="456"/>
      <c r="P6" s="456"/>
      <c r="Q6" s="456"/>
      <c r="R6" s="456"/>
      <c r="S6" s="456"/>
    </row>
    <row r="7" spans="1:19" ht="15.75">
      <c r="A7" s="31"/>
      <c r="B7" s="31"/>
      <c r="C7" s="31"/>
      <c r="D7" s="31"/>
      <c r="E7" s="31"/>
      <c r="F7" s="31"/>
      <c r="G7" s="31"/>
      <c r="H7" s="32"/>
      <c r="I7" s="438" t="s">
        <v>998</v>
      </c>
      <c r="J7" s="438"/>
      <c r="K7" s="438"/>
      <c r="L7" s="438"/>
      <c r="M7" s="438"/>
      <c r="N7" s="438"/>
      <c r="O7" s="438"/>
      <c r="P7" s="438"/>
      <c r="Q7" s="438"/>
      <c r="R7" s="438"/>
      <c r="S7" s="438"/>
    </row>
    <row r="8" spans="1:19" ht="15.75">
      <c r="A8" s="31"/>
      <c r="B8" s="31"/>
      <c r="C8" s="31"/>
      <c r="D8" s="31"/>
      <c r="E8" s="31"/>
      <c r="F8" s="31"/>
      <c r="G8" s="31"/>
      <c r="H8" s="32"/>
      <c r="I8" s="438" t="s">
        <v>1030</v>
      </c>
      <c r="J8" s="438"/>
      <c r="K8" s="438"/>
      <c r="L8" s="438"/>
      <c r="M8" s="438"/>
      <c r="N8" s="438"/>
      <c r="O8" s="438"/>
      <c r="P8" s="438"/>
      <c r="Q8" s="438"/>
      <c r="R8" s="438"/>
      <c r="S8" s="438"/>
    </row>
    <row r="9" spans="1:17" ht="15.75">
      <c r="A9" s="31"/>
      <c r="B9" s="31"/>
      <c r="C9" s="31"/>
      <c r="D9" s="31"/>
      <c r="E9" s="31"/>
      <c r="F9" s="31"/>
      <c r="G9" s="31"/>
      <c r="H9" s="32" t="s">
        <v>262</v>
      </c>
      <c r="I9" s="36" t="s">
        <v>262</v>
      </c>
      <c r="J9" s="37" t="s">
        <v>262</v>
      </c>
      <c r="K9" s="37"/>
      <c r="L9" s="34"/>
      <c r="M9" s="34"/>
      <c r="N9" s="34"/>
      <c r="O9" s="34" t="s">
        <v>262</v>
      </c>
      <c r="P9" s="37"/>
      <c r="Q9" s="35"/>
    </row>
    <row r="10" spans="1:19" ht="18.75">
      <c r="A10" s="38"/>
      <c r="B10" s="38"/>
      <c r="C10" s="38"/>
      <c r="D10" s="38"/>
      <c r="E10" s="38"/>
      <c r="F10" s="38"/>
      <c r="G10" s="38"/>
      <c r="H10" s="457" t="s">
        <v>999</v>
      </c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</row>
    <row r="11" spans="1:19" ht="16.5" thickBot="1">
      <c r="A11" s="40"/>
      <c r="B11" s="40"/>
      <c r="C11" s="40"/>
      <c r="D11" s="40"/>
      <c r="E11" s="40"/>
      <c r="F11" s="40"/>
      <c r="G11" s="40"/>
      <c r="H11" s="32"/>
      <c r="I11" s="36"/>
      <c r="J11" s="36"/>
      <c r="K11" s="36"/>
      <c r="L11" s="39"/>
      <c r="M11" s="39"/>
      <c r="N11" s="39"/>
      <c r="O11" s="39"/>
      <c r="P11" s="36"/>
      <c r="Q11" s="138" t="s">
        <v>262</v>
      </c>
      <c r="R11" s="458" t="s">
        <v>1003</v>
      </c>
      <c r="S11" s="458"/>
    </row>
    <row r="12" spans="1:19" ht="31.5">
      <c r="A12" s="41"/>
      <c r="B12" s="41" t="s">
        <v>200</v>
      </c>
      <c r="C12" s="42" t="s">
        <v>199</v>
      </c>
      <c r="D12" s="42" t="s">
        <v>198</v>
      </c>
      <c r="E12" s="42" t="s">
        <v>197</v>
      </c>
      <c r="F12" s="42" t="s">
        <v>196</v>
      </c>
      <c r="G12" s="42" t="s">
        <v>195</v>
      </c>
      <c r="H12" s="442" t="s">
        <v>194</v>
      </c>
      <c r="I12" s="459" t="s">
        <v>193</v>
      </c>
      <c r="J12" s="443" t="s">
        <v>192</v>
      </c>
      <c r="K12" s="445" t="s">
        <v>191</v>
      </c>
      <c r="L12" s="450" t="s">
        <v>190</v>
      </c>
      <c r="M12" s="451"/>
      <c r="N12" s="451"/>
      <c r="O12" s="452"/>
      <c r="P12" s="445" t="s">
        <v>189</v>
      </c>
      <c r="Q12" s="435" t="s">
        <v>1002</v>
      </c>
      <c r="R12" s="436"/>
      <c r="S12" s="437"/>
    </row>
    <row r="13" spans="1:19" ht="15.75">
      <c r="A13" s="120"/>
      <c r="B13" s="120"/>
      <c r="C13" s="120"/>
      <c r="D13" s="120"/>
      <c r="E13" s="120"/>
      <c r="F13" s="120"/>
      <c r="G13" s="120"/>
      <c r="H13" s="442"/>
      <c r="I13" s="460"/>
      <c r="J13" s="444"/>
      <c r="K13" s="446"/>
      <c r="L13" s="453"/>
      <c r="M13" s="454"/>
      <c r="N13" s="454"/>
      <c r="O13" s="455"/>
      <c r="P13" s="446"/>
      <c r="Q13" s="137" t="s">
        <v>463</v>
      </c>
      <c r="R13" s="137" t="s">
        <v>481</v>
      </c>
      <c r="S13" s="137" t="s">
        <v>993</v>
      </c>
    </row>
    <row r="14" spans="1:19" ht="15.75">
      <c r="A14" s="43"/>
      <c r="B14" s="44"/>
      <c r="C14" s="44"/>
      <c r="D14" s="44"/>
      <c r="E14" s="44"/>
      <c r="F14" s="44"/>
      <c r="G14" s="45"/>
      <c r="H14" s="46">
        <v>1</v>
      </c>
      <c r="I14" s="47">
        <v>2</v>
      </c>
      <c r="J14" s="48">
        <v>3</v>
      </c>
      <c r="K14" s="46">
        <v>4</v>
      </c>
      <c r="L14" s="447">
        <v>5</v>
      </c>
      <c r="M14" s="448"/>
      <c r="N14" s="448"/>
      <c r="O14" s="449"/>
      <c r="P14" s="46">
        <v>6</v>
      </c>
      <c r="Q14" s="49">
        <v>7</v>
      </c>
      <c r="R14" s="175">
        <v>8</v>
      </c>
      <c r="S14" s="175">
        <v>9</v>
      </c>
    </row>
    <row r="15" spans="1:19" s="312" customFormat="1" ht="18.75">
      <c r="A15" s="469">
        <v>1</v>
      </c>
      <c r="B15" s="469"/>
      <c r="C15" s="469"/>
      <c r="D15" s="469"/>
      <c r="E15" s="469"/>
      <c r="F15" s="469"/>
      <c r="G15" s="310">
        <v>120</v>
      </c>
      <c r="H15" s="320" t="s">
        <v>485</v>
      </c>
      <c r="I15" s="328">
        <v>666</v>
      </c>
      <c r="J15" s="10" t="s">
        <v>205</v>
      </c>
      <c r="K15" s="10" t="s">
        <v>205</v>
      </c>
      <c r="L15" s="81" t="s">
        <v>205</v>
      </c>
      <c r="M15" s="82" t="s">
        <v>205</v>
      </c>
      <c r="N15" s="82"/>
      <c r="O15" s="82" t="s">
        <v>205</v>
      </c>
      <c r="P15" s="311" t="s">
        <v>205</v>
      </c>
      <c r="Q15" s="122">
        <f aca="true" t="shared" si="0" ref="Q15:S17">Q16</f>
        <v>3047.3</v>
      </c>
      <c r="R15" s="122">
        <f t="shared" si="0"/>
        <v>3129.5</v>
      </c>
      <c r="S15" s="122">
        <f t="shared" si="0"/>
        <v>3129.5</v>
      </c>
    </row>
    <row r="16" spans="1:19" s="234" customFormat="1" ht="19.5">
      <c r="A16" s="228"/>
      <c r="B16" s="228"/>
      <c r="C16" s="228"/>
      <c r="D16" s="228"/>
      <c r="E16" s="228"/>
      <c r="F16" s="228"/>
      <c r="G16" s="229"/>
      <c r="H16" s="227" t="s">
        <v>235</v>
      </c>
      <c r="I16" s="355">
        <v>666</v>
      </c>
      <c r="J16" s="231">
        <v>1</v>
      </c>
      <c r="K16" s="231" t="s">
        <v>262</v>
      </c>
      <c r="L16" s="232"/>
      <c r="M16" s="233"/>
      <c r="N16" s="233"/>
      <c r="O16" s="233"/>
      <c r="P16" s="230"/>
      <c r="Q16" s="123">
        <f t="shared" si="0"/>
        <v>3047.3</v>
      </c>
      <c r="R16" s="123">
        <f t="shared" si="0"/>
        <v>3129.5</v>
      </c>
      <c r="S16" s="123">
        <f t="shared" si="0"/>
        <v>3129.5</v>
      </c>
    </row>
    <row r="17" spans="1:19" s="113" customFormat="1" ht="31.5">
      <c r="A17" s="463">
        <v>100</v>
      </c>
      <c r="B17" s="463"/>
      <c r="C17" s="464"/>
      <c r="D17" s="464"/>
      <c r="E17" s="464"/>
      <c r="F17" s="464"/>
      <c r="G17" s="84">
        <v>120</v>
      </c>
      <c r="H17" s="96" t="s">
        <v>187</v>
      </c>
      <c r="I17" s="251">
        <v>666</v>
      </c>
      <c r="J17" s="86">
        <v>1</v>
      </c>
      <c r="K17" s="86">
        <v>3</v>
      </c>
      <c r="L17" s="87"/>
      <c r="M17" s="88"/>
      <c r="N17" s="88"/>
      <c r="O17" s="88"/>
      <c r="P17" s="85"/>
      <c r="Q17" s="123">
        <f t="shared" si="0"/>
        <v>3047.3</v>
      </c>
      <c r="R17" s="123">
        <f t="shared" si="0"/>
        <v>3129.5</v>
      </c>
      <c r="S17" s="123">
        <f t="shared" si="0"/>
        <v>3129.5</v>
      </c>
    </row>
    <row r="18" spans="1:19" s="195" customFormat="1" ht="18.75">
      <c r="A18" s="192"/>
      <c r="B18" s="193"/>
      <c r="C18" s="470">
        <v>104</v>
      </c>
      <c r="D18" s="471"/>
      <c r="E18" s="471"/>
      <c r="F18" s="471"/>
      <c r="G18" s="194">
        <v>120</v>
      </c>
      <c r="H18" s="2" t="s">
        <v>227</v>
      </c>
      <c r="I18" s="9">
        <v>666</v>
      </c>
      <c r="J18" s="11">
        <v>1</v>
      </c>
      <c r="K18" s="11">
        <v>3</v>
      </c>
      <c r="L18" s="57" t="s">
        <v>228</v>
      </c>
      <c r="M18" s="58" t="s">
        <v>220</v>
      </c>
      <c r="N18" s="58" t="s">
        <v>229</v>
      </c>
      <c r="O18" s="58" t="s">
        <v>261</v>
      </c>
      <c r="P18" s="7"/>
      <c r="Q18" s="124">
        <f>Q19+Q22</f>
        <v>3047.3</v>
      </c>
      <c r="R18" s="124">
        <f>R19+R22</f>
        <v>3129.5</v>
      </c>
      <c r="S18" s="124">
        <f>S19+S22</f>
        <v>3129.5</v>
      </c>
    </row>
    <row r="19" spans="1:19" ht="18.75">
      <c r="A19" s="61"/>
      <c r="B19" s="60"/>
      <c r="C19" s="59"/>
      <c r="D19" s="56"/>
      <c r="E19" s="56"/>
      <c r="F19" s="56"/>
      <c r="G19" s="51"/>
      <c r="H19" s="2" t="s">
        <v>323</v>
      </c>
      <c r="I19" s="9">
        <v>666</v>
      </c>
      <c r="J19" s="11">
        <v>1</v>
      </c>
      <c r="K19" s="11">
        <v>3</v>
      </c>
      <c r="L19" s="11">
        <v>92</v>
      </c>
      <c r="M19" s="58" t="s">
        <v>220</v>
      </c>
      <c r="N19" s="58" t="s">
        <v>229</v>
      </c>
      <c r="O19" s="58" t="s">
        <v>264</v>
      </c>
      <c r="P19" s="7"/>
      <c r="Q19" s="124">
        <f>Q20+Q21</f>
        <v>1965.2</v>
      </c>
      <c r="R19" s="124">
        <f>R20+R21</f>
        <v>2047.4</v>
      </c>
      <c r="S19" s="124">
        <f>S20+S21</f>
        <v>2047.4</v>
      </c>
    </row>
    <row r="20" spans="1:19" ht="18.75">
      <c r="A20" s="61"/>
      <c r="B20" s="60"/>
      <c r="C20" s="59"/>
      <c r="D20" s="56"/>
      <c r="E20" s="56"/>
      <c r="F20" s="56"/>
      <c r="G20" s="51"/>
      <c r="H20" s="2" t="s">
        <v>204</v>
      </c>
      <c r="I20" s="9">
        <v>666</v>
      </c>
      <c r="J20" s="11">
        <v>1</v>
      </c>
      <c r="K20" s="11">
        <v>3</v>
      </c>
      <c r="L20" s="11">
        <v>92</v>
      </c>
      <c r="M20" s="58" t="s">
        <v>220</v>
      </c>
      <c r="N20" s="58" t="s">
        <v>229</v>
      </c>
      <c r="O20" s="58" t="s">
        <v>264</v>
      </c>
      <c r="P20" s="7">
        <v>120</v>
      </c>
      <c r="Q20" s="124">
        <f>1560.7-97</f>
        <v>1463.7</v>
      </c>
      <c r="R20" s="124">
        <v>1642.9</v>
      </c>
      <c r="S20" s="124">
        <v>1642.9</v>
      </c>
    </row>
    <row r="21" spans="1:19" ht="18.75">
      <c r="A21" s="61"/>
      <c r="B21" s="60"/>
      <c r="C21" s="59"/>
      <c r="D21" s="461">
        <v>20000</v>
      </c>
      <c r="E21" s="462"/>
      <c r="F21" s="462"/>
      <c r="G21" s="51">
        <v>120</v>
      </c>
      <c r="H21" s="2" t="s">
        <v>299</v>
      </c>
      <c r="I21" s="9">
        <v>666</v>
      </c>
      <c r="J21" s="11">
        <v>1</v>
      </c>
      <c r="K21" s="11">
        <v>3</v>
      </c>
      <c r="L21" s="11">
        <v>92</v>
      </c>
      <c r="M21" s="58" t="s">
        <v>220</v>
      </c>
      <c r="N21" s="58" t="s">
        <v>229</v>
      </c>
      <c r="O21" s="58" t="s">
        <v>264</v>
      </c>
      <c r="P21" s="7">
        <v>240</v>
      </c>
      <c r="Q21" s="124">
        <f>404.5+97</f>
        <v>501.5</v>
      </c>
      <c r="R21" s="124">
        <v>404.5</v>
      </c>
      <c r="S21" s="124">
        <v>404.5</v>
      </c>
    </row>
    <row r="22" spans="1:19" ht="31.5">
      <c r="A22" s="61"/>
      <c r="B22" s="60"/>
      <c r="C22" s="59"/>
      <c r="D22" s="63"/>
      <c r="E22" s="64"/>
      <c r="F22" s="64"/>
      <c r="G22" s="51"/>
      <c r="H22" s="2" t="s">
        <v>374</v>
      </c>
      <c r="I22" s="5">
        <v>666</v>
      </c>
      <c r="J22" s="11">
        <v>1</v>
      </c>
      <c r="K22" s="11">
        <v>3</v>
      </c>
      <c r="L22" s="11">
        <v>92</v>
      </c>
      <c r="M22" s="58" t="s">
        <v>220</v>
      </c>
      <c r="N22" s="58" t="s">
        <v>229</v>
      </c>
      <c r="O22" s="58" t="s">
        <v>373</v>
      </c>
      <c r="P22" s="7"/>
      <c r="Q22" s="124">
        <f>Q23</f>
        <v>1082.1</v>
      </c>
      <c r="R22" s="124">
        <f>R23</f>
        <v>1082.1</v>
      </c>
      <c r="S22" s="124">
        <f>S23</f>
        <v>1082.1</v>
      </c>
    </row>
    <row r="23" spans="1:19" ht="18.75">
      <c r="A23" s="61"/>
      <c r="B23" s="60"/>
      <c r="C23" s="65"/>
      <c r="D23" s="63"/>
      <c r="E23" s="66"/>
      <c r="F23" s="66"/>
      <c r="G23" s="67"/>
      <c r="H23" s="2" t="s">
        <v>204</v>
      </c>
      <c r="I23" s="9">
        <v>666</v>
      </c>
      <c r="J23" s="11">
        <v>1</v>
      </c>
      <c r="K23" s="11">
        <v>3</v>
      </c>
      <c r="L23" s="11">
        <v>92</v>
      </c>
      <c r="M23" s="58" t="s">
        <v>220</v>
      </c>
      <c r="N23" s="58" t="s">
        <v>229</v>
      </c>
      <c r="O23" s="58" t="s">
        <v>373</v>
      </c>
      <c r="P23" s="3">
        <v>120</v>
      </c>
      <c r="Q23" s="124">
        <v>1082.1</v>
      </c>
      <c r="R23" s="124">
        <v>1082.1</v>
      </c>
      <c r="S23" s="124">
        <v>1082.1</v>
      </c>
    </row>
    <row r="24" spans="1:19" s="111" customFormat="1" ht="16.5">
      <c r="A24" s="105"/>
      <c r="B24" s="114"/>
      <c r="C24" s="313"/>
      <c r="D24" s="314"/>
      <c r="E24" s="315"/>
      <c r="F24" s="315"/>
      <c r="G24" s="116"/>
      <c r="H24" s="320" t="s">
        <v>486</v>
      </c>
      <c r="I24" s="328">
        <v>667</v>
      </c>
      <c r="J24" s="10"/>
      <c r="K24" s="10"/>
      <c r="L24" s="10"/>
      <c r="M24" s="82"/>
      <c r="N24" s="82"/>
      <c r="O24" s="82"/>
      <c r="P24" s="311"/>
      <c r="Q24" s="316">
        <f>Q25</f>
        <v>1758.6</v>
      </c>
      <c r="R24" s="316">
        <f aca="true" t="shared" si="1" ref="R24:S26">R25</f>
        <v>1813.8</v>
      </c>
      <c r="S24" s="316">
        <f t="shared" si="1"/>
        <v>1813.8</v>
      </c>
    </row>
    <row r="25" spans="1:19" s="234" customFormat="1" ht="17.25">
      <c r="A25" s="235"/>
      <c r="B25" s="236"/>
      <c r="C25" s="237"/>
      <c r="D25" s="238"/>
      <c r="E25" s="239"/>
      <c r="F25" s="239"/>
      <c r="G25" s="229"/>
      <c r="H25" s="227" t="s">
        <v>235</v>
      </c>
      <c r="I25" s="355">
        <v>667</v>
      </c>
      <c r="J25" s="231">
        <v>1</v>
      </c>
      <c r="K25" s="231" t="s">
        <v>262</v>
      </c>
      <c r="L25" s="231"/>
      <c r="M25" s="233"/>
      <c r="N25" s="233"/>
      <c r="O25" s="233"/>
      <c r="P25" s="230"/>
      <c r="Q25" s="240">
        <f>Q26</f>
        <v>1758.6</v>
      </c>
      <c r="R25" s="240">
        <f t="shared" si="1"/>
        <v>1813.8</v>
      </c>
      <c r="S25" s="240">
        <f t="shared" si="1"/>
        <v>1813.8</v>
      </c>
    </row>
    <row r="26" spans="1:19" s="113" customFormat="1" ht="31.5">
      <c r="A26" s="89"/>
      <c r="B26" s="90"/>
      <c r="C26" s="104"/>
      <c r="D26" s="107"/>
      <c r="E26" s="92"/>
      <c r="F26" s="92"/>
      <c r="G26" s="84"/>
      <c r="H26" s="225" t="s">
        <v>76</v>
      </c>
      <c r="I26" s="251">
        <v>667</v>
      </c>
      <c r="J26" s="86">
        <v>1</v>
      </c>
      <c r="K26" s="86">
        <v>6</v>
      </c>
      <c r="L26" s="86"/>
      <c r="M26" s="88"/>
      <c r="N26" s="88"/>
      <c r="O26" s="88"/>
      <c r="P26" s="85"/>
      <c r="Q26" s="217">
        <f>Q27</f>
        <v>1758.6</v>
      </c>
      <c r="R26" s="217">
        <f t="shared" si="1"/>
        <v>1813.8</v>
      </c>
      <c r="S26" s="217">
        <f t="shared" si="1"/>
        <v>1813.8</v>
      </c>
    </row>
    <row r="27" spans="1:19" ht="18.75">
      <c r="A27" s="61"/>
      <c r="B27" s="60"/>
      <c r="C27" s="68"/>
      <c r="D27" s="69"/>
      <c r="E27" s="66"/>
      <c r="F27" s="66"/>
      <c r="G27" s="51"/>
      <c r="H27" s="2" t="s">
        <v>33</v>
      </c>
      <c r="I27" s="9">
        <v>667</v>
      </c>
      <c r="J27" s="11">
        <v>1</v>
      </c>
      <c r="K27" s="11">
        <v>6</v>
      </c>
      <c r="L27" s="11">
        <v>91</v>
      </c>
      <c r="M27" s="58" t="s">
        <v>220</v>
      </c>
      <c r="N27" s="58" t="s">
        <v>229</v>
      </c>
      <c r="O27" s="58" t="s">
        <v>261</v>
      </c>
      <c r="P27" s="7"/>
      <c r="Q27" s="124">
        <f>Q28+Q32</f>
        <v>1758.6</v>
      </c>
      <c r="R27" s="124">
        <f>R28+R32</f>
        <v>1813.8</v>
      </c>
      <c r="S27" s="124">
        <f>S28+S32</f>
        <v>1813.8</v>
      </c>
    </row>
    <row r="28" spans="1:19" ht="18.75">
      <c r="A28" s="61"/>
      <c r="B28" s="60"/>
      <c r="C28" s="68"/>
      <c r="D28" s="69"/>
      <c r="E28" s="66"/>
      <c r="F28" s="66"/>
      <c r="G28" s="51"/>
      <c r="H28" s="2" t="s">
        <v>60</v>
      </c>
      <c r="I28" s="9">
        <v>667</v>
      </c>
      <c r="J28" s="11">
        <v>1</v>
      </c>
      <c r="K28" s="11">
        <v>6</v>
      </c>
      <c r="L28" s="11">
        <v>91</v>
      </c>
      <c r="M28" s="58" t="s">
        <v>220</v>
      </c>
      <c r="N28" s="58" t="s">
        <v>229</v>
      </c>
      <c r="O28" s="58" t="s">
        <v>264</v>
      </c>
      <c r="P28" s="7"/>
      <c r="Q28" s="124">
        <f>Q29+Q30+Q31</f>
        <v>1032.1</v>
      </c>
      <c r="R28" s="124">
        <f>R29+R30+R31</f>
        <v>1087.3</v>
      </c>
      <c r="S28" s="124">
        <f>S29+S30+S31</f>
        <v>1087.3</v>
      </c>
    </row>
    <row r="29" spans="1:19" ht="18.75">
      <c r="A29" s="61"/>
      <c r="B29" s="60"/>
      <c r="C29" s="68"/>
      <c r="D29" s="69"/>
      <c r="E29" s="66"/>
      <c r="F29" s="66"/>
      <c r="G29" s="51"/>
      <c r="H29" s="2" t="s">
        <v>204</v>
      </c>
      <c r="I29" s="9">
        <v>667</v>
      </c>
      <c r="J29" s="11">
        <v>1</v>
      </c>
      <c r="K29" s="11">
        <v>6</v>
      </c>
      <c r="L29" s="11">
        <v>91</v>
      </c>
      <c r="M29" s="58" t="s">
        <v>220</v>
      </c>
      <c r="N29" s="58" t="s">
        <v>229</v>
      </c>
      <c r="O29" s="58" t="s">
        <v>264</v>
      </c>
      <c r="P29" s="7">
        <v>120</v>
      </c>
      <c r="Q29" s="124">
        <v>1021.1</v>
      </c>
      <c r="R29" s="125">
        <v>1076.3</v>
      </c>
      <c r="S29" s="125">
        <v>1076.3</v>
      </c>
    </row>
    <row r="30" spans="1:19" ht="18.75">
      <c r="A30" s="61"/>
      <c r="B30" s="60"/>
      <c r="C30" s="68"/>
      <c r="D30" s="69"/>
      <c r="E30" s="66"/>
      <c r="F30" s="66"/>
      <c r="G30" s="51"/>
      <c r="H30" s="2" t="s">
        <v>299</v>
      </c>
      <c r="I30" s="9">
        <v>667</v>
      </c>
      <c r="J30" s="11">
        <v>1</v>
      </c>
      <c r="K30" s="11">
        <v>6</v>
      </c>
      <c r="L30" s="11">
        <v>91</v>
      </c>
      <c r="M30" s="58" t="s">
        <v>220</v>
      </c>
      <c r="N30" s="58" t="s">
        <v>229</v>
      </c>
      <c r="O30" s="58" t="s">
        <v>264</v>
      </c>
      <c r="P30" s="7">
        <v>240</v>
      </c>
      <c r="Q30" s="124">
        <f>11-0.1</f>
        <v>10.9</v>
      </c>
      <c r="R30" s="124">
        <v>11</v>
      </c>
      <c r="S30" s="124">
        <v>11</v>
      </c>
    </row>
    <row r="31" spans="1:19" ht="18.75">
      <c r="A31" s="61"/>
      <c r="B31" s="60"/>
      <c r="C31" s="68"/>
      <c r="D31" s="69"/>
      <c r="E31" s="66"/>
      <c r="F31" s="66"/>
      <c r="G31" s="51"/>
      <c r="H31" s="2" t="s">
        <v>300</v>
      </c>
      <c r="I31" s="9">
        <v>667</v>
      </c>
      <c r="J31" s="11">
        <v>1</v>
      </c>
      <c r="K31" s="11">
        <v>6</v>
      </c>
      <c r="L31" s="11">
        <v>91</v>
      </c>
      <c r="M31" s="58" t="s">
        <v>220</v>
      </c>
      <c r="N31" s="58" t="s">
        <v>229</v>
      </c>
      <c r="O31" s="58" t="s">
        <v>264</v>
      </c>
      <c r="P31" s="7">
        <v>850</v>
      </c>
      <c r="Q31" s="124">
        <v>0.1</v>
      </c>
      <c r="R31" s="124">
        <v>0</v>
      </c>
      <c r="S31" s="124">
        <v>0</v>
      </c>
    </row>
    <row r="32" spans="1:19" ht="31.5">
      <c r="A32" s="61"/>
      <c r="B32" s="60"/>
      <c r="C32" s="68"/>
      <c r="D32" s="69"/>
      <c r="E32" s="66"/>
      <c r="F32" s="66"/>
      <c r="G32" s="51"/>
      <c r="H32" s="2" t="s">
        <v>374</v>
      </c>
      <c r="I32" s="9">
        <v>667</v>
      </c>
      <c r="J32" s="11">
        <v>1</v>
      </c>
      <c r="K32" s="11">
        <v>6</v>
      </c>
      <c r="L32" s="11">
        <v>91</v>
      </c>
      <c r="M32" s="58" t="s">
        <v>220</v>
      </c>
      <c r="N32" s="58" t="s">
        <v>229</v>
      </c>
      <c r="O32" s="58" t="s">
        <v>373</v>
      </c>
      <c r="P32" s="7"/>
      <c r="Q32" s="124">
        <f>Q33</f>
        <v>726.5</v>
      </c>
      <c r="R32" s="124">
        <f>R33</f>
        <v>726.5</v>
      </c>
      <c r="S32" s="124">
        <f>S33</f>
        <v>726.5</v>
      </c>
    </row>
    <row r="33" spans="1:19" ht="18.75">
      <c r="A33" s="61"/>
      <c r="B33" s="60"/>
      <c r="C33" s="68"/>
      <c r="D33" s="69"/>
      <c r="E33" s="66"/>
      <c r="F33" s="66"/>
      <c r="G33" s="51"/>
      <c r="H33" s="2" t="s">
        <v>204</v>
      </c>
      <c r="I33" s="9">
        <v>667</v>
      </c>
      <c r="J33" s="11">
        <v>1</v>
      </c>
      <c r="K33" s="11">
        <v>6</v>
      </c>
      <c r="L33" s="11">
        <v>91</v>
      </c>
      <c r="M33" s="58" t="s">
        <v>220</v>
      </c>
      <c r="N33" s="58" t="s">
        <v>229</v>
      </c>
      <c r="O33" s="58" t="s">
        <v>373</v>
      </c>
      <c r="P33" s="7">
        <v>120</v>
      </c>
      <c r="Q33" s="124">
        <v>726.5</v>
      </c>
      <c r="R33" s="124">
        <v>726.5</v>
      </c>
      <c r="S33" s="124">
        <v>726.5</v>
      </c>
    </row>
    <row r="34" spans="1:19" s="111" customFormat="1" ht="16.5">
      <c r="A34" s="105"/>
      <c r="B34" s="114"/>
      <c r="C34" s="317"/>
      <c r="D34" s="318"/>
      <c r="E34" s="315"/>
      <c r="F34" s="315"/>
      <c r="G34" s="319">
        <v>621</v>
      </c>
      <c r="H34" s="320" t="s">
        <v>487</v>
      </c>
      <c r="I34" s="212">
        <v>668</v>
      </c>
      <c r="J34" s="321"/>
      <c r="K34" s="10"/>
      <c r="L34" s="81"/>
      <c r="M34" s="82"/>
      <c r="N34" s="82"/>
      <c r="O34" s="82"/>
      <c r="P34" s="18"/>
      <c r="Q34" s="213">
        <f>Q35+Q106+Q154+Q225+Q312+Q342+Q371+Q402+Q408+Q453+Q485</f>
        <v>1011921.4999999998</v>
      </c>
      <c r="R34" s="213">
        <f>R35+R106+R154+R225+R312+R342+R371+R402+R408+R453+R485</f>
        <v>202737.2</v>
      </c>
      <c r="S34" s="213">
        <f>S35+S106+S154+S225+S312+S342+S371+S402+S408+S453+S485</f>
        <v>201250.5</v>
      </c>
    </row>
    <row r="35" spans="1:19" s="234" customFormat="1" ht="17.25">
      <c r="A35" s="235"/>
      <c r="B35" s="236"/>
      <c r="C35" s="235"/>
      <c r="D35" s="322"/>
      <c r="E35" s="239"/>
      <c r="F35" s="239"/>
      <c r="G35" s="229"/>
      <c r="H35" s="227" t="s">
        <v>235</v>
      </c>
      <c r="I35" s="323">
        <v>668</v>
      </c>
      <c r="J35" s="241">
        <v>1</v>
      </c>
      <c r="K35" s="231" t="s">
        <v>262</v>
      </c>
      <c r="L35" s="232"/>
      <c r="M35" s="233"/>
      <c r="N35" s="233"/>
      <c r="O35" s="233"/>
      <c r="P35" s="242"/>
      <c r="Q35" s="243">
        <f>Q36+Q43+Q52+Q57+Q61</f>
        <v>85666.9</v>
      </c>
      <c r="R35" s="243">
        <f>R36+R43+R52+R57+R61</f>
        <v>79308.1</v>
      </c>
      <c r="S35" s="243">
        <f>S36+S43+S52+S57+S61</f>
        <v>80214.20000000001</v>
      </c>
    </row>
    <row r="36" spans="1:19" s="113" customFormat="1" ht="31.5">
      <c r="A36" s="89"/>
      <c r="B36" s="90"/>
      <c r="C36" s="89"/>
      <c r="D36" s="91"/>
      <c r="E36" s="92"/>
      <c r="F36" s="92"/>
      <c r="G36" s="84"/>
      <c r="H36" s="225" t="s">
        <v>226</v>
      </c>
      <c r="I36" s="99">
        <v>668</v>
      </c>
      <c r="J36" s="94">
        <v>1</v>
      </c>
      <c r="K36" s="86">
        <v>2</v>
      </c>
      <c r="L36" s="87"/>
      <c r="M36" s="88"/>
      <c r="N36" s="88"/>
      <c r="O36" s="88"/>
      <c r="P36" s="93"/>
      <c r="Q36" s="127">
        <f aca="true" t="shared" si="2" ref="Q36:S37">Q37</f>
        <v>2574.7</v>
      </c>
      <c r="R36" s="127">
        <f t="shared" si="2"/>
        <v>2299.9</v>
      </c>
      <c r="S36" s="127">
        <f t="shared" si="2"/>
        <v>2299.9</v>
      </c>
    </row>
    <row r="37" spans="1:19" ht="31.5">
      <c r="A37" s="59"/>
      <c r="B37" s="60"/>
      <c r="C37" s="59"/>
      <c r="D37" s="71"/>
      <c r="E37" s="66"/>
      <c r="F37" s="66"/>
      <c r="G37" s="51"/>
      <c r="H37" s="2" t="s">
        <v>522</v>
      </c>
      <c r="I37" s="5">
        <v>668</v>
      </c>
      <c r="J37" s="13">
        <v>1</v>
      </c>
      <c r="K37" s="11">
        <v>2</v>
      </c>
      <c r="L37" s="57" t="s">
        <v>494</v>
      </c>
      <c r="M37" s="58" t="s">
        <v>220</v>
      </c>
      <c r="N37" s="58" t="s">
        <v>229</v>
      </c>
      <c r="O37" s="58" t="s">
        <v>261</v>
      </c>
      <c r="P37" s="3"/>
      <c r="Q37" s="126">
        <f t="shared" si="2"/>
        <v>2574.7</v>
      </c>
      <c r="R37" s="126">
        <f t="shared" si="2"/>
        <v>2299.9</v>
      </c>
      <c r="S37" s="126">
        <f t="shared" si="2"/>
        <v>2299.9</v>
      </c>
    </row>
    <row r="38" spans="1:19" ht="31.5">
      <c r="A38" s="59"/>
      <c r="B38" s="60"/>
      <c r="C38" s="59"/>
      <c r="D38" s="71"/>
      <c r="E38" s="66"/>
      <c r="F38" s="66"/>
      <c r="G38" s="51"/>
      <c r="H38" s="2" t="s">
        <v>523</v>
      </c>
      <c r="I38" s="5">
        <v>668</v>
      </c>
      <c r="J38" s="13">
        <v>1</v>
      </c>
      <c r="K38" s="11">
        <v>2</v>
      </c>
      <c r="L38" s="57" t="s">
        <v>494</v>
      </c>
      <c r="M38" s="58" t="s">
        <v>220</v>
      </c>
      <c r="N38" s="58" t="s">
        <v>221</v>
      </c>
      <c r="O38" s="58" t="s">
        <v>261</v>
      </c>
      <c r="P38" s="3"/>
      <c r="Q38" s="126">
        <f>Q39+Q41</f>
        <v>2574.7</v>
      </c>
      <c r="R38" s="126">
        <f>R39+R41</f>
        <v>2299.9</v>
      </c>
      <c r="S38" s="126">
        <f>S39+S41</f>
        <v>2299.9</v>
      </c>
    </row>
    <row r="39" spans="1:19" ht="18.75">
      <c r="A39" s="59"/>
      <c r="B39" s="60"/>
      <c r="C39" s="59"/>
      <c r="D39" s="71"/>
      <c r="E39" s="66"/>
      <c r="F39" s="66"/>
      <c r="G39" s="51"/>
      <c r="H39" s="2" t="s">
        <v>323</v>
      </c>
      <c r="I39" s="5">
        <v>668</v>
      </c>
      <c r="J39" s="13">
        <v>1</v>
      </c>
      <c r="K39" s="11">
        <v>2</v>
      </c>
      <c r="L39" s="57" t="s">
        <v>494</v>
      </c>
      <c r="M39" s="58" t="s">
        <v>220</v>
      </c>
      <c r="N39" s="58" t="s">
        <v>221</v>
      </c>
      <c r="O39" s="58" t="s">
        <v>264</v>
      </c>
      <c r="P39" s="3"/>
      <c r="Q39" s="126">
        <f>Q40</f>
        <v>1647.8</v>
      </c>
      <c r="R39" s="126">
        <f>R40</f>
        <v>1373</v>
      </c>
      <c r="S39" s="126">
        <f>S40</f>
        <v>1373</v>
      </c>
    </row>
    <row r="40" spans="1:19" ht="18.75">
      <c r="A40" s="59"/>
      <c r="B40" s="60"/>
      <c r="C40" s="59"/>
      <c r="D40" s="71"/>
      <c r="E40" s="66"/>
      <c r="F40" s="66"/>
      <c r="G40" s="51"/>
      <c r="H40" s="2" t="s">
        <v>204</v>
      </c>
      <c r="I40" s="5">
        <v>668</v>
      </c>
      <c r="J40" s="13">
        <v>1</v>
      </c>
      <c r="K40" s="11">
        <v>2</v>
      </c>
      <c r="L40" s="57" t="s">
        <v>494</v>
      </c>
      <c r="M40" s="58" t="s">
        <v>220</v>
      </c>
      <c r="N40" s="58" t="s">
        <v>221</v>
      </c>
      <c r="O40" s="58" t="s">
        <v>264</v>
      </c>
      <c r="P40" s="3">
        <v>120</v>
      </c>
      <c r="Q40" s="126">
        <f>1302.6+64.9+215.3+65</f>
        <v>1647.8</v>
      </c>
      <c r="R40" s="126">
        <v>1373</v>
      </c>
      <c r="S40" s="126">
        <v>1373</v>
      </c>
    </row>
    <row r="41" spans="1:19" ht="31.5">
      <c r="A41" s="59"/>
      <c r="B41" s="60"/>
      <c r="C41" s="59"/>
      <c r="D41" s="71"/>
      <c r="E41" s="66"/>
      <c r="F41" s="66"/>
      <c r="G41" s="51"/>
      <c r="H41" s="2" t="s">
        <v>374</v>
      </c>
      <c r="I41" s="5">
        <v>668</v>
      </c>
      <c r="J41" s="13">
        <v>1</v>
      </c>
      <c r="K41" s="11">
        <v>2</v>
      </c>
      <c r="L41" s="57" t="s">
        <v>494</v>
      </c>
      <c r="M41" s="58" t="s">
        <v>220</v>
      </c>
      <c r="N41" s="58" t="s">
        <v>221</v>
      </c>
      <c r="O41" s="58" t="s">
        <v>373</v>
      </c>
      <c r="P41" s="3"/>
      <c r="Q41" s="126">
        <f>Q42</f>
        <v>926.9</v>
      </c>
      <c r="R41" s="126">
        <f>R42</f>
        <v>926.9</v>
      </c>
      <c r="S41" s="126">
        <f>S42</f>
        <v>926.9</v>
      </c>
    </row>
    <row r="42" spans="1:19" ht="18.75">
      <c r="A42" s="59"/>
      <c r="B42" s="60"/>
      <c r="C42" s="59"/>
      <c r="D42" s="71"/>
      <c r="E42" s="66"/>
      <c r="F42" s="66"/>
      <c r="G42" s="51"/>
      <c r="H42" s="2" t="s">
        <v>204</v>
      </c>
      <c r="I42" s="5">
        <v>668</v>
      </c>
      <c r="J42" s="13">
        <v>1</v>
      </c>
      <c r="K42" s="11">
        <v>2</v>
      </c>
      <c r="L42" s="57" t="s">
        <v>494</v>
      </c>
      <c r="M42" s="58" t="s">
        <v>220</v>
      </c>
      <c r="N42" s="58" t="s">
        <v>221</v>
      </c>
      <c r="O42" s="58" t="s">
        <v>373</v>
      </c>
      <c r="P42" s="3">
        <v>120</v>
      </c>
      <c r="Q42" s="126">
        <v>926.9</v>
      </c>
      <c r="R42" s="126">
        <v>926.9</v>
      </c>
      <c r="S42" s="126">
        <v>926.9</v>
      </c>
    </row>
    <row r="43" spans="1:19" s="113" customFormat="1" ht="31.5">
      <c r="A43" s="89"/>
      <c r="B43" s="90"/>
      <c r="C43" s="89"/>
      <c r="D43" s="91"/>
      <c r="E43" s="92"/>
      <c r="F43" s="92"/>
      <c r="G43" s="84"/>
      <c r="H43" s="225" t="s">
        <v>238</v>
      </c>
      <c r="I43" s="99">
        <v>668</v>
      </c>
      <c r="J43" s="94">
        <v>1</v>
      </c>
      <c r="K43" s="86">
        <v>4</v>
      </c>
      <c r="L43" s="87"/>
      <c r="M43" s="88"/>
      <c r="N43" s="88"/>
      <c r="O43" s="88"/>
      <c r="P43" s="93"/>
      <c r="Q43" s="127">
        <f aca="true" t="shared" si="3" ref="Q43:S44">Q44</f>
        <v>24302.4</v>
      </c>
      <c r="R43" s="127">
        <f t="shared" si="3"/>
        <v>30489.6</v>
      </c>
      <c r="S43" s="127">
        <f t="shared" si="3"/>
        <v>30359.6</v>
      </c>
    </row>
    <row r="44" spans="1:19" ht="31.5">
      <c r="A44" s="59"/>
      <c r="B44" s="60"/>
      <c r="C44" s="59"/>
      <c r="D44" s="71"/>
      <c r="E44" s="66"/>
      <c r="F44" s="66"/>
      <c r="G44" s="51"/>
      <c r="H44" s="2" t="s">
        <v>522</v>
      </c>
      <c r="I44" s="5">
        <v>668</v>
      </c>
      <c r="J44" s="13">
        <v>1</v>
      </c>
      <c r="K44" s="11">
        <v>4</v>
      </c>
      <c r="L44" s="57" t="s">
        <v>494</v>
      </c>
      <c r="M44" s="58" t="s">
        <v>220</v>
      </c>
      <c r="N44" s="58" t="s">
        <v>229</v>
      </c>
      <c r="O44" s="58" t="s">
        <v>261</v>
      </c>
      <c r="P44" s="3"/>
      <c r="Q44" s="126">
        <f t="shared" si="3"/>
        <v>24302.4</v>
      </c>
      <c r="R44" s="126">
        <f t="shared" si="3"/>
        <v>30489.6</v>
      </c>
      <c r="S44" s="126">
        <f t="shared" si="3"/>
        <v>30359.6</v>
      </c>
    </row>
    <row r="45" spans="1:19" ht="31.5">
      <c r="A45" s="59"/>
      <c r="B45" s="60"/>
      <c r="C45" s="59"/>
      <c r="D45" s="71"/>
      <c r="E45" s="66"/>
      <c r="F45" s="66"/>
      <c r="G45" s="51"/>
      <c r="H45" s="2" t="s">
        <v>523</v>
      </c>
      <c r="I45" s="5">
        <v>668</v>
      </c>
      <c r="J45" s="13">
        <v>1</v>
      </c>
      <c r="K45" s="11">
        <v>4</v>
      </c>
      <c r="L45" s="57" t="s">
        <v>494</v>
      </c>
      <c r="M45" s="58" t="s">
        <v>220</v>
      </c>
      <c r="N45" s="58" t="s">
        <v>221</v>
      </c>
      <c r="O45" s="58" t="s">
        <v>261</v>
      </c>
      <c r="P45" s="3"/>
      <c r="Q45" s="126">
        <f>Q46+Q50</f>
        <v>24302.4</v>
      </c>
      <c r="R45" s="126">
        <f>R46+R50</f>
        <v>30489.6</v>
      </c>
      <c r="S45" s="126">
        <f>S46+S50</f>
        <v>30359.6</v>
      </c>
    </row>
    <row r="46" spans="1:19" ht="18.75">
      <c r="A46" s="59"/>
      <c r="B46" s="60"/>
      <c r="C46" s="59"/>
      <c r="D46" s="71"/>
      <c r="E46" s="66"/>
      <c r="F46" s="66"/>
      <c r="G46" s="51"/>
      <c r="H46" s="2" t="s">
        <v>60</v>
      </c>
      <c r="I46" s="5">
        <v>668</v>
      </c>
      <c r="J46" s="13">
        <v>1</v>
      </c>
      <c r="K46" s="11">
        <v>4</v>
      </c>
      <c r="L46" s="57" t="s">
        <v>494</v>
      </c>
      <c r="M46" s="58" t="s">
        <v>220</v>
      </c>
      <c r="N46" s="58" t="s">
        <v>221</v>
      </c>
      <c r="O46" s="58" t="s">
        <v>264</v>
      </c>
      <c r="P46" s="3"/>
      <c r="Q46" s="126">
        <f>Q47+Q48+Q49</f>
        <v>13446.1</v>
      </c>
      <c r="R46" s="126">
        <f>R47+R48+R49</f>
        <v>19633.3</v>
      </c>
      <c r="S46" s="126">
        <f>S47+S48+S49</f>
        <v>19503.3</v>
      </c>
    </row>
    <row r="47" spans="1:19" s="113" customFormat="1" ht="18.75">
      <c r="A47" s="89"/>
      <c r="B47" s="90"/>
      <c r="C47" s="89"/>
      <c r="D47" s="91"/>
      <c r="E47" s="92"/>
      <c r="F47" s="92"/>
      <c r="G47" s="84"/>
      <c r="H47" s="2" t="s">
        <v>204</v>
      </c>
      <c r="I47" s="5">
        <v>668</v>
      </c>
      <c r="J47" s="13">
        <v>1</v>
      </c>
      <c r="K47" s="11">
        <v>4</v>
      </c>
      <c r="L47" s="57" t="s">
        <v>494</v>
      </c>
      <c r="M47" s="58" t="s">
        <v>220</v>
      </c>
      <c r="N47" s="58" t="s">
        <v>221</v>
      </c>
      <c r="O47" s="58" t="s">
        <v>264</v>
      </c>
      <c r="P47" s="3">
        <v>120</v>
      </c>
      <c r="Q47" s="126">
        <f>15356.7-300-4805+20-20-92.5-239.9+175+5044.9+973.8-915.6+30-225-2935-968.8-1215+200</f>
        <v>10083.6</v>
      </c>
      <c r="R47" s="126">
        <v>16181.3</v>
      </c>
      <c r="S47" s="126">
        <v>16151.3</v>
      </c>
    </row>
    <row r="48" spans="1:19" ht="18.75">
      <c r="A48" s="61"/>
      <c r="B48" s="60"/>
      <c r="C48" s="65"/>
      <c r="D48" s="63"/>
      <c r="E48" s="472">
        <v>5203500</v>
      </c>
      <c r="F48" s="472"/>
      <c r="G48" s="51">
        <v>521</v>
      </c>
      <c r="H48" s="2" t="s">
        <v>299</v>
      </c>
      <c r="I48" s="5">
        <v>668</v>
      </c>
      <c r="J48" s="11">
        <v>1</v>
      </c>
      <c r="K48" s="11">
        <v>4</v>
      </c>
      <c r="L48" s="57" t="s">
        <v>494</v>
      </c>
      <c r="M48" s="58" t="s">
        <v>220</v>
      </c>
      <c r="N48" s="58" t="s">
        <v>221</v>
      </c>
      <c r="O48" s="58" t="s">
        <v>264</v>
      </c>
      <c r="P48" s="7">
        <v>240</v>
      </c>
      <c r="Q48" s="124">
        <f>2992-50+50-100-4-5.5-20</f>
        <v>2862.5</v>
      </c>
      <c r="R48" s="124">
        <f>3452-500</f>
        <v>2952</v>
      </c>
      <c r="S48" s="124">
        <f>3352-500</f>
        <v>2852</v>
      </c>
    </row>
    <row r="49" spans="1:19" ht="18.75">
      <c r="A49" s="72"/>
      <c r="B49" s="73"/>
      <c r="C49" s="68"/>
      <c r="D49" s="69"/>
      <c r="E49" s="66"/>
      <c r="F49" s="66"/>
      <c r="G49" s="51"/>
      <c r="H49" s="2" t="s">
        <v>300</v>
      </c>
      <c r="I49" s="5">
        <v>668</v>
      </c>
      <c r="J49" s="13">
        <v>1</v>
      </c>
      <c r="K49" s="11">
        <v>4</v>
      </c>
      <c r="L49" s="57" t="s">
        <v>494</v>
      </c>
      <c r="M49" s="58" t="s">
        <v>220</v>
      </c>
      <c r="N49" s="58" t="s">
        <v>221</v>
      </c>
      <c r="O49" s="58" t="s">
        <v>264</v>
      </c>
      <c r="P49" s="3">
        <v>850</v>
      </c>
      <c r="Q49" s="126">
        <v>500</v>
      </c>
      <c r="R49" s="126">
        <v>500</v>
      </c>
      <c r="S49" s="126">
        <v>500</v>
      </c>
    </row>
    <row r="50" spans="1:19" ht="31.5">
      <c r="A50" s="72"/>
      <c r="B50" s="73"/>
      <c r="C50" s="68"/>
      <c r="D50" s="69"/>
      <c r="E50" s="66"/>
      <c r="F50" s="66"/>
      <c r="G50" s="51"/>
      <c r="H50" s="2" t="s">
        <v>374</v>
      </c>
      <c r="I50" s="5">
        <v>668</v>
      </c>
      <c r="J50" s="13">
        <v>1</v>
      </c>
      <c r="K50" s="11">
        <v>4</v>
      </c>
      <c r="L50" s="57" t="s">
        <v>494</v>
      </c>
      <c r="M50" s="58" t="s">
        <v>220</v>
      </c>
      <c r="N50" s="58" t="s">
        <v>221</v>
      </c>
      <c r="O50" s="58" t="s">
        <v>373</v>
      </c>
      <c r="P50" s="3"/>
      <c r="Q50" s="126">
        <f>Q51</f>
        <v>10856.3</v>
      </c>
      <c r="R50" s="126">
        <f>R51</f>
        <v>10856.3</v>
      </c>
      <c r="S50" s="126">
        <f>S51</f>
        <v>10856.3</v>
      </c>
    </row>
    <row r="51" spans="1:19" ht="18.75">
      <c r="A51" s="72"/>
      <c r="B51" s="73"/>
      <c r="C51" s="68"/>
      <c r="D51" s="69"/>
      <c r="E51" s="66"/>
      <c r="F51" s="66"/>
      <c r="G51" s="51"/>
      <c r="H51" s="2" t="s">
        <v>204</v>
      </c>
      <c r="I51" s="5">
        <v>668</v>
      </c>
      <c r="J51" s="13">
        <v>1</v>
      </c>
      <c r="K51" s="11">
        <v>4</v>
      </c>
      <c r="L51" s="57" t="s">
        <v>494</v>
      </c>
      <c r="M51" s="58" t="s">
        <v>220</v>
      </c>
      <c r="N51" s="58" t="s">
        <v>221</v>
      </c>
      <c r="O51" s="58" t="s">
        <v>373</v>
      </c>
      <c r="P51" s="3">
        <v>120</v>
      </c>
      <c r="Q51" s="126">
        <v>10856.3</v>
      </c>
      <c r="R51" s="126">
        <v>10856.3</v>
      </c>
      <c r="S51" s="126">
        <v>10856.3</v>
      </c>
    </row>
    <row r="52" spans="1:19" s="113" customFormat="1" ht="19.5">
      <c r="A52" s="106"/>
      <c r="B52" s="128"/>
      <c r="C52" s="104"/>
      <c r="D52" s="107"/>
      <c r="E52" s="92"/>
      <c r="F52" s="92"/>
      <c r="G52" s="84"/>
      <c r="H52" s="225" t="s">
        <v>259</v>
      </c>
      <c r="I52" s="99">
        <v>668</v>
      </c>
      <c r="J52" s="86">
        <v>1</v>
      </c>
      <c r="K52" s="86">
        <v>5</v>
      </c>
      <c r="L52" s="87"/>
      <c r="M52" s="88"/>
      <c r="N52" s="88"/>
      <c r="O52" s="88"/>
      <c r="P52" s="85"/>
      <c r="Q52" s="123">
        <f>Q53</f>
        <v>3</v>
      </c>
      <c r="R52" s="123">
        <f aca="true" t="shared" si="4" ref="R52:S55">R53</f>
        <v>3.1</v>
      </c>
      <c r="S52" s="123">
        <f t="shared" si="4"/>
        <v>20.2</v>
      </c>
    </row>
    <row r="53" spans="1:19" ht="31.5">
      <c r="A53" s="72"/>
      <c r="B53" s="73"/>
      <c r="C53" s="68"/>
      <c r="D53" s="69"/>
      <c r="E53" s="66"/>
      <c r="F53" s="66"/>
      <c r="G53" s="51"/>
      <c r="H53" s="2" t="s">
        <v>522</v>
      </c>
      <c r="I53" s="5">
        <v>668</v>
      </c>
      <c r="J53" s="11">
        <v>1</v>
      </c>
      <c r="K53" s="11">
        <v>5</v>
      </c>
      <c r="L53" s="57" t="s">
        <v>494</v>
      </c>
      <c r="M53" s="58" t="s">
        <v>220</v>
      </c>
      <c r="N53" s="58" t="s">
        <v>229</v>
      </c>
      <c r="O53" s="58" t="s">
        <v>261</v>
      </c>
      <c r="P53" s="7"/>
      <c r="Q53" s="124">
        <f>Q54</f>
        <v>3</v>
      </c>
      <c r="R53" s="124">
        <f t="shared" si="4"/>
        <v>3.1</v>
      </c>
      <c r="S53" s="124">
        <f t="shared" si="4"/>
        <v>20.2</v>
      </c>
    </row>
    <row r="54" spans="1:19" ht="31.5">
      <c r="A54" s="72"/>
      <c r="B54" s="73"/>
      <c r="C54" s="68"/>
      <c r="D54" s="69"/>
      <c r="E54" s="66"/>
      <c r="F54" s="66"/>
      <c r="G54" s="51"/>
      <c r="H54" s="2" t="s">
        <v>524</v>
      </c>
      <c r="I54" s="5">
        <v>668</v>
      </c>
      <c r="J54" s="11">
        <v>1</v>
      </c>
      <c r="K54" s="11">
        <v>5</v>
      </c>
      <c r="L54" s="57" t="s">
        <v>494</v>
      </c>
      <c r="M54" s="58" t="s">
        <v>220</v>
      </c>
      <c r="N54" s="58" t="s">
        <v>223</v>
      </c>
      <c r="O54" s="58" t="s">
        <v>261</v>
      </c>
      <c r="P54" s="7"/>
      <c r="Q54" s="124">
        <f>Q55</f>
        <v>3</v>
      </c>
      <c r="R54" s="124">
        <f t="shared" si="4"/>
        <v>3.1</v>
      </c>
      <c r="S54" s="124">
        <f t="shared" si="4"/>
        <v>20.2</v>
      </c>
    </row>
    <row r="55" spans="1:19" ht="31.5">
      <c r="A55" s="72"/>
      <c r="B55" s="73"/>
      <c r="C55" s="68"/>
      <c r="D55" s="69"/>
      <c r="E55" s="66"/>
      <c r="F55" s="66"/>
      <c r="G55" s="51"/>
      <c r="H55" s="2" t="s">
        <v>322</v>
      </c>
      <c r="I55" s="5">
        <v>668</v>
      </c>
      <c r="J55" s="11">
        <v>1</v>
      </c>
      <c r="K55" s="11">
        <v>5</v>
      </c>
      <c r="L55" s="57" t="s">
        <v>494</v>
      </c>
      <c r="M55" s="58" t="s">
        <v>220</v>
      </c>
      <c r="N55" s="58" t="s">
        <v>223</v>
      </c>
      <c r="O55" s="58" t="s">
        <v>321</v>
      </c>
      <c r="P55" s="7"/>
      <c r="Q55" s="124">
        <f>Q56</f>
        <v>3</v>
      </c>
      <c r="R55" s="124">
        <f t="shared" si="4"/>
        <v>3.1</v>
      </c>
      <c r="S55" s="124">
        <f t="shared" si="4"/>
        <v>20.2</v>
      </c>
    </row>
    <row r="56" spans="1:19" ht="18.75">
      <c r="A56" s="72"/>
      <c r="B56" s="73"/>
      <c r="C56" s="68"/>
      <c r="D56" s="69"/>
      <c r="E56" s="66"/>
      <c r="F56" s="66"/>
      <c r="G56" s="51"/>
      <c r="H56" s="2" t="s">
        <v>299</v>
      </c>
      <c r="I56" s="5">
        <v>668</v>
      </c>
      <c r="J56" s="11">
        <v>1</v>
      </c>
      <c r="K56" s="11">
        <v>5</v>
      </c>
      <c r="L56" s="57" t="s">
        <v>494</v>
      </c>
      <c r="M56" s="58" t="s">
        <v>220</v>
      </c>
      <c r="N56" s="58" t="s">
        <v>223</v>
      </c>
      <c r="O56" s="58" t="s">
        <v>321</v>
      </c>
      <c r="P56" s="7">
        <v>240</v>
      </c>
      <c r="Q56" s="124">
        <v>3</v>
      </c>
      <c r="R56" s="126">
        <v>3.1</v>
      </c>
      <c r="S56" s="126">
        <v>20.2</v>
      </c>
    </row>
    <row r="57" spans="1:19" s="113" customFormat="1" ht="19.5">
      <c r="A57" s="106"/>
      <c r="B57" s="128"/>
      <c r="C57" s="104"/>
      <c r="D57" s="107"/>
      <c r="E57" s="92"/>
      <c r="F57" s="92"/>
      <c r="G57" s="84"/>
      <c r="H57" s="96" t="s">
        <v>75</v>
      </c>
      <c r="I57" s="99">
        <v>668</v>
      </c>
      <c r="J57" s="86">
        <v>1</v>
      </c>
      <c r="K57" s="86">
        <v>11</v>
      </c>
      <c r="L57" s="87"/>
      <c r="M57" s="88"/>
      <c r="N57" s="88"/>
      <c r="O57" s="88"/>
      <c r="P57" s="85"/>
      <c r="Q57" s="123">
        <f>Q58</f>
        <v>155.3</v>
      </c>
      <c r="R57" s="123">
        <f aca="true" t="shared" si="5" ref="R57:S59">R58</f>
        <v>500</v>
      </c>
      <c r="S57" s="123">
        <f t="shared" si="5"/>
        <v>500</v>
      </c>
    </row>
    <row r="58" spans="1:19" ht="18.75">
      <c r="A58" s="72"/>
      <c r="B58" s="73"/>
      <c r="C58" s="68"/>
      <c r="D58" s="69"/>
      <c r="E58" s="66"/>
      <c r="F58" s="66"/>
      <c r="G58" s="51"/>
      <c r="H58" s="2" t="s">
        <v>75</v>
      </c>
      <c r="I58" s="5">
        <v>668</v>
      </c>
      <c r="J58" s="11">
        <v>1</v>
      </c>
      <c r="K58" s="11">
        <v>11</v>
      </c>
      <c r="L58" s="57" t="s">
        <v>61</v>
      </c>
      <c r="M58" s="58" t="s">
        <v>220</v>
      </c>
      <c r="N58" s="58" t="s">
        <v>229</v>
      </c>
      <c r="O58" s="58" t="s">
        <v>261</v>
      </c>
      <c r="P58" s="7"/>
      <c r="Q58" s="124">
        <f>Q59</f>
        <v>155.3</v>
      </c>
      <c r="R58" s="124">
        <f t="shared" si="5"/>
        <v>500</v>
      </c>
      <c r="S58" s="124">
        <f t="shared" si="5"/>
        <v>500</v>
      </c>
    </row>
    <row r="59" spans="1:19" ht="18.75">
      <c r="A59" s="72"/>
      <c r="B59" s="73"/>
      <c r="C59" s="68"/>
      <c r="D59" s="69"/>
      <c r="E59" s="66"/>
      <c r="F59" s="66"/>
      <c r="G59" s="51"/>
      <c r="H59" s="2" t="s">
        <v>69</v>
      </c>
      <c r="I59" s="5">
        <v>668</v>
      </c>
      <c r="J59" s="11">
        <v>1</v>
      </c>
      <c r="K59" s="11">
        <v>11</v>
      </c>
      <c r="L59" s="57" t="s">
        <v>61</v>
      </c>
      <c r="M59" s="58" t="s">
        <v>231</v>
      </c>
      <c r="N59" s="58" t="s">
        <v>229</v>
      </c>
      <c r="O59" s="58" t="s">
        <v>261</v>
      </c>
      <c r="P59" s="7"/>
      <c r="Q59" s="124">
        <f>Q60</f>
        <v>155.3</v>
      </c>
      <c r="R59" s="124">
        <f t="shared" si="5"/>
        <v>500</v>
      </c>
      <c r="S59" s="124">
        <f t="shared" si="5"/>
        <v>500</v>
      </c>
    </row>
    <row r="60" spans="1:19" ht="18.75">
      <c r="A60" s="72"/>
      <c r="B60" s="73"/>
      <c r="C60" s="68"/>
      <c r="D60" s="69"/>
      <c r="E60" s="66"/>
      <c r="F60" s="66"/>
      <c r="G60" s="51"/>
      <c r="H60" s="2" t="s">
        <v>213</v>
      </c>
      <c r="I60" s="5">
        <v>668</v>
      </c>
      <c r="J60" s="11">
        <v>1</v>
      </c>
      <c r="K60" s="11">
        <v>11</v>
      </c>
      <c r="L60" s="57" t="s">
        <v>61</v>
      </c>
      <c r="M60" s="58" t="s">
        <v>231</v>
      </c>
      <c r="N60" s="58" t="s">
        <v>229</v>
      </c>
      <c r="O60" s="58" t="s">
        <v>261</v>
      </c>
      <c r="P60" s="7">
        <v>870</v>
      </c>
      <c r="Q60" s="124">
        <f>500-344.7</f>
        <v>155.3</v>
      </c>
      <c r="R60" s="126">
        <v>500</v>
      </c>
      <c r="S60" s="126">
        <v>500</v>
      </c>
    </row>
    <row r="61" spans="1:19" s="113" customFormat="1" ht="19.5">
      <c r="A61" s="106"/>
      <c r="B61" s="128"/>
      <c r="C61" s="104"/>
      <c r="D61" s="107"/>
      <c r="E61" s="92"/>
      <c r="F61" s="92"/>
      <c r="G61" s="84"/>
      <c r="H61" s="96" t="s">
        <v>206</v>
      </c>
      <c r="I61" s="99">
        <v>668</v>
      </c>
      <c r="J61" s="86">
        <v>1</v>
      </c>
      <c r="K61" s="86">
        <v>13</v>
      </c>
      <c r="L61" s="87"/>
      <c r="M61" s="88"/>
      <c r="N61" s="88"/>
      <c r="O61" s="88"/>
      <c r="P61" s="85"/>
      <c r="Q61" s="123">
        <f>Q62+Q74+Q79+Q102</f>
        <v>58631.49999999999</v>
      </c>
      <c r="R61" s="123">
        <f>R62+R74+R79+R102</f>
        <v>46015.50000000001</v>
      </c>
      <c r="S61" s="123">
        <f>S62+S74+S79+S102</f>
        <v>47034.50000000001</v>
      </c>
    </row>
    <row r="62" spans="1:19" s="113" customFormat="1" ht="31.5">
      <c r="A62" s="106"/>
      <c r="B62" s="128"/>
      <c r="C62" s="104"/>
      <c r="D62" s="107"/>
      <c r="E62" s="92"/>
      <c r="F62" s="92"/>
      <c r="G62" s="84"/>
      <c r="H62" s="2" t="s">
        <v>520</v>
      </c>
      <c r="I62" s="5">
        <v>668</v>
      </c>
      <c r="J62" s="11">
        <v>1</v>
      </c>
      <c r="K62" s="11">
        <v>13</v>
      </c>
      <c r="L62" s="57" t="s">
        <v>236</v>
      </c>
      <c r="M62" s="58" t="s">
        <v>220</v>
      </c>
      <c r="N62" s="58" t="s">
        <v>229</v>
      </c>
      <c r="O62" s="58" t="s">
        <v>261</v>
      </c>
      <c r="P62" s="7"/>
      <c r="Q62" s="124">
        <f>Q63+Q68+Q72</f>
        <v>425</v>
      </c>
      <c r="R62" s="124">
        <f>R63+R67+R71</f>
        <v>319</v>
      </c>
      <c r="S62" s="124">
        <f>S63+S67+S71</f>
        <v>391</v>
      </c>
    </row>
    <row r="63" spans="1:19" s="113" customFormat="1" ht="18.75">
      <c r="A63" s="106"/>
      <c r="B63" s="128"/>
      <c r="C63" s="104"/>
      <c r="D63" s="107"/>
      <c r="E63" s="92"/>
      <c r="F63" s="92"/>
      <c r="G63" s="84"/>
      <c r="H63" s="2" t="s">
        <v>365</v>
      </c>
      <c r="I63" s="5">
        <v>668</v>
      </c>
      <c r="J63" s="11">
        <v>1</v>
      </c>
      <c r="K63" s="11">
        <v>13</v>
      </c>
      <c r="L63" s="57" t="s">
        <v>236</v>
      </c>
      <c r="M63" s="58" t="s">
        <v>220</v>
      </c>
      <c r="N63" s="58" t="s">
        <v>221</v>
      </c>
      <c r="O63" s="58" t="s">
        <v>261</v>
      </c>
      <c r="P63" s="7"/>
      <c r="Q63" s="124">
        <f>Q64</f>
        <v>252.9</v>
      </c>
      <c r="R63" s="124">
        <f>R64</f>
        <v>200</v>
      </c>
      <c r="S63" s="124">
        <f>S64</f>
        <v>250</v>
      </c>
    </row>
    <row r="64" spans="1:19" s="113" customFormat="1" ht="31.5">
      <c r="A64" s="106"/>
      <c r="B64" s="128"/>
      <c r="C64" s="104"/>
      <c r="D64" s="107"/>
      <c r="E64" s="92"/>
      <c r="F64" s="92"/>
      <c r="G64" s="84"/>
      <c r="H64" s="2" t="s">
        <v>0</v>
      </c>
      <c r="I64" s="5">
        <v>668</v>
      </c>
      <c r="J64" s="11">
        <v>1</v>
      </c>
      <c r="K64" s="11">
        <v>13</v>
      </c>
      <c r="L64" s="57" t="s">
        <v>236</v>
      </c>
      <c r="M64" s="58" t="s">
        <v>220</v>
      </c>
      <c r="N64" s="58" t="s">
        <v>221</v>
      </c>
      <c r="O64" s="58" t="s">
        <v>1</v>
      </c>
      <c r="P64" s="7"/>
      <c r="Q64" s="124">
        <f>Q65+Q66</f>
        <v>252.9</v>
      </c>
      <c r="R64" s="124">
        <f>R65+R66</f>
        <v>200</v>
      </c>
      <c r="S64" s="124">
        <f>S65+S66</f>
        <v>250</v>
      </c>
    </row>
    <row r="65" spans="1:19" s="113" customFormat="1" ht="18.75">
      <c r="A65" s="106"/>
      <c r="B65" s="128"/>
      <c r="C65" s="104"/>
      <c r="D65" s="107"/>
      <c r="E65" s="92"/>
      <c r="F65" s="92"/>
      <c r="G65" s="84"/>
      <c r="H65" s="2" t="s">
        <v>257</v>
      </c>
      <c r="I65" s="5">
        <v>668</v>
      </c>
      <c r="J65" s="11">
        <v>1</v>
      </c>
      <c r="K65" s="11">
        <v>13</v>
      </c>
      <c r="L65" s="57" t="s">
        <v>236</v>
      </c>
      <c r="M65" s="58" t="s">
        <v>220</v>
      </c>
      <c r="N65" s="58" t="s">
        <v>221</v>
      </c>
      <c r="O65" s="58" t="s">
        <v>1</v>
      </c>
      <c r="P65" s="7">
        <v>340</v>
      </c>
      <c r="Q65" s="124">
        <v>250</v>
      </c>
      <c r="R65" s="124">
        <v>200</v>
      </c>
      <c r="S65" s="124">
        <v>250</v>
      </c>
    </row>
    <row r="66" spans="1:19" s="113" customFormat="1" ht="18.75">
      <c r="A66" s="106"/>
      <c r="B66" s="128"/>
      <c r="C66" s="104"/>
      <c r="D66" s="107"/>
      <c r="E66" s="92"/>
      <c r="F66" s="92"/>
      <c r="G66" s="84"/>
      <c r="H66" s="2" t="s">
        <v>299</v>
      </c>
      <c r="I66" s="5">
        <v>668</v>
      </c>
      <c r="J66" s="11">
        <v>1</v>
      </c>
      <c r="K66" s="11">
        <v>13</v>
      </c>
      <c r="L66" s="57" t="s">
        <v>236</v>
      </c>
      <c r="M66" s="58" t="s">
        <v>220</v>
      </c>
      <c r="N66" s="58" t="s">
        <v>221</v>
      </c>
      <c r="O66" s="58" t="s">
        <v>1</v>
      </c>
      <c r="P66" s="7">
        <v>240</v>
      </c>
      <c r="Q66" s="124">
        <v>2.9</v>
      </c>
      <c r="R66" s="124">
        <v>0</v>
      </c>
      <c r="S66" s="124">
        <v>0</v>
      </c>
    </row>
    <row r="67" spans="1:19" s="113" customFormat="1" ht="18.75">
      <c r="A67" s="106"/>
      <c r="B67" s="128"/>
      <c r="C67" s="104"/>
      <c r="D67" s="107"/>
      <c r="E67" s="92"/>
      <c r="F67" s="92"/>
      <c r="G67" s="84"/>
      <c r="H67" s="2" t="s">
        <v>366</v>
      </c>
      <c r="I67" s="5">
        <v>668</v>
      </c>
      <c r="J67" s="11">
        <v>1</v>
      </c>
      <c r="K67" s="11">
        <v>13</v>
      </c>
      <c r="L67" s="57" t="s">
        <v>236</v>
      </c>
      <c r="M67" s="58" t="s">
        <v>220</v>
      </c>
      <c r="N67" s="58" t="s">
        <v>236</v>
      </c>
      <c r="O67" s="58" t="s">
        <v>261</v>
      </c>
      <c r="P67" s="7"/>
      <c r="Q67" s="124">
        <f>Q68</f>
        <v>165.1</v>
      </c>
      <c r="R67" s="124">
        <f>R68</f>
        <v>119</v>
      </c>
      <c r="S67" s="124">
        <f>S68</f>
        <v>134</v>
      </c>
    </row>
    <row r="68" spans="1:19" s="113" customFormat="1" ht="31.5">
      <c r="A68" s="106"/>
      <c r="B68" s="128"/>
      <c r="C68" s="104"/>
      <c r="D68" s="107"/>
      <c r="E68" s="92"/>
      <c r="F68" s="92"/>
      <c r="G68" s="84"/>
      <c r="H68" s="2" t="s">
        <v>0</v>
      </c>
      <c r="I68" s="5">
        <v>668</v>
      </c>
      <c r="J68" s="11">
        <v>1</v>
      </c>
      <c r="K68" s="11">
        <v>13</v>
      </c>
      <c r="L68" s="57" t="s">
        <v>236</v>
      </c>
      <c r="M68" s="58" t="s">
        <v>220</v>
      </c>
      <c r="N68" s="58" t="s">
        <v>236</v>
      </c>
      <c r="O68" s="58" t="s">
        <v>1</v>
      </c>
      <c r="P68" s="7"/>
      <c r="Q68" s="124">
        <f>Q69+Q70</f>
        <v>165.1</v>
      </c>
      <c r="R68" s="124">
        <f>R69+R70</f>
        <v>119</v>
      </c>
      <c r="S68" s="124">
        <f>S69+S70</f>
        <v>134</v>
      </c>
    </row>
    <row r="69" spans="1:19" s="113" customFormat="1" ht="18.75">
      <c r="A69" s="106"/>
      <c r="B69" s="128"/>
      <c r="C69" s="104"/>
      <c r="D69" s="107"/>
      <c r="E69" s="92"/>
      <c r="F69" s="92"/>
      <c r="G69" s="84"/>
      <c r="H69" s="2" t="s">
        <v>204</v>
      </c>
      <c r="I69" s="5">
        <v>668</v>
      </c>
      <c r="J69" s="11">
        <v>1</v>
      </c>
      <c r="K69" s="11">
        <v>13</v>
      </c>
      <c r="L69" s="57" t="s">
        <v>236</v>
      </c>
      <c r="M69" s="58" t="s">
        <v>220</v>
      </c>
      <c r="N69" s="58" t="s">
        <v>236</v>
      </c>
      <c r="O69" s="58" t="s">
        <v>1</v>
      </c>
      <c r="P69" s="7">
        <v>120</v>
      </c>
      <c r="Q69" s="124">
        <f>65-2.9</f>
        <v>62.1</v>
      </c>
      <c r="R69" s="124">
        <v>23</v>
      </c>
      <c r="S69" s="124">
        <v>38</v>
      </c>
    </row>
    <row r="70" spans="1:19" s="113" customFormat="1" ht="18.75">
      <c r="A70" s="106"/>
      <c r="B70" s="128"/>
      <c r="C70" s="104"/>
      <c r="D70" s="107"/>
      <c r="E70" s="92"/>
      <c r="F70" s="92"/>
      <c r="G70" s="84"/>
      <c r="H70" s="2" t="s">
        <v>299</v>
      </c>
      <c r="I70" s="5">
        <v>668</v>
      </c>
      <c r="J70" s="11">
        <v>1</v>
      </c>
      <c r="K70" s="11">
        <v>13</v>
      </c>
      <c r="L70" s="57" t="s">
        <v>236</v>
      </c>
      <c r="M70" s="58" t="s">
        <v>220</v>
      </c>
      <c r="N70" s="58" t="s">
        <v>236</v>
      </c>
      <c r="O70" s="58" t="s">
        <v>1</v>
      </c>
      <c r="P70" s="7">
        <v>240</v>
      </c>
      <c r="Q70" s="124">
        <f>103+2.9-2.9</f>
        <v>103</v>
      </c>
      <c r="R70" s="124">
        <v>96</v>
      </c>
      <c r="S70" s="124">
        <v>96</v>
      </c>
    </row>
    <row r="71" spans="1:19" s="113" customFormat="1" ht="18.75">
      <c r="A71" s="106"/>
      <c r="B71" s="128"/>
      <c r="C71" s="104"/>
      <c r="D71" s="107"/>
      <c r="E71" s="92"/>
      <c r="F71" s="92"/>
      <c r="G71" s="84"/>
      <c r="H71" s="25" t="s">
        <v>521</v>
      </c>
      <c r="I71" s="9">
        <v>668</v>
      </c>
      <c r="J71" s="11">
        <v>1</v>
      </c>
      <c r="K71" s="11">
        <v>13</v>
      </c>
      <c r="L71" s="57" t="s">
        <v>236</v>
      </c>
      <c r="M71" s="58" t="s">
        <v>220</v>
      </c>
      <c r="N71" s="58" t="s">
        <v>237</v>
      </c>
      <c r="O71" s="58" t="s">
        <v>261</v>
      </c>
      <c r="P71" s="7"/>
      <c r="Q71" s="124">
        <f aca="true" t="shared" si="6" ref="Q71:S72">Q72</f>
        <v>7</v>
      </c>
      <c r="R71" s="124">
        <f t="shared" si="6"/>
        <v>0</v>
      </c>
      <c r="S71" s="124">
        <f t="shared" si="6"/>
        <v>7</v>
      </c>
    </row>
    <row r="72" spans="1:19" s="113" customFormat="1" ht="31.5">
      <c r="A72" s="106"/>
      <c r="B72" s="128"/>
      <c r="C72" s="104"/>
      <c r="D72" s="107"/>
      <c r="E72" s="92"/>
      <c r="F72" s="92"/>
      <c r="G72" s="84"/>
      <c r="H72" s="25" t="s">
        <v>0</v>
      </c>
      <c r="I72" s="9">
        <v>668</v>
      </c>
      <c r="J72" s="11">
        <v>1</v>
      </c>
      <c r="K72" s="11">
        <v>13</v>
      </c>
      <c r="L72" s="57" t="s">
        <v>236</v>
      </c>
      <c r="M72" s="58" t="s">
        <v>220</v>
      </c>
      <c r="N72" s="58" t="s">
        <v>237</v>
      </c>
      <c r="O72" s="58" t="s">
        <v>1</v>
      </c>
      <c r="P72" s="7"/>
      <c r="Q72" s="124">
        <f t="shared" si="6"/>
        <v>7</v>
      </c>
      <c r="R72" s="124">
        <f t="shared" si="6"/>
        <v>0</v>
      </c>
      <c r="S72" s="124">
        <f t="shared" si="6"/>
        <v>7</v>
      </c>
    </row>
    <row r="73" spans="1:19" s="113" customFormat="1" ht="18.75">
      <c r="A73" s="106"/>
      <c r="B73" s="128"/>
      <c r="C73" s="104"/>
      <c r="D73" s="107"/>
      <c r="E73" s="92"/>
      <c r="F73" s="92"/>
      <c r="G73" s="84"/>
      <c r="H73" s="2" t="s">
        <v>299</v>
      </c>
      <c r="I73" s="9">
        <v>668</v>
      </c>
      <c r="J73" s="11">
        <v>1</v>
      </c>
      <c r="K73" s="11">
        <v>13</v>
      </c>
      <c r="L73" s="57" t="s">
        <v>236</v>
      </c>
      <c r="M73" s="58" t="s">
        <v>220</v>
      </c>
      <c r="N73" s="58" t="s">
        <v>237</v>
      </c>
      <c r="O73" s="58" t="s">
        <v>1</v>
      </c>
      <c r="P73" s="7">
        <v>240</v>
      </c>
      <c r="Q73" s="124">
        <v>7</v>
      </c>
      <c r="R73" s="124">
        <v>0</v>
      </c>
      <c r="S73" s="124">
        <v>7</v>
      </c>
    </row>
    <row r="74" spans="1:19" ht="31.5">
      <c r="A74" s="76"/>
      <c r="B74" s="73"/>
      <c r="C74" s="68"/>
      <c r="D74" s="69"/>
      <c r="E74" s="66"/>
      <c r="F74" s="66"/>
      <c r="G74" s="51"/>
      <c r="H74" s="2" t="s">
        <v>526</v>
      </c>
      <c r="I74" s="5">
        <v>668</v>
      </c>
      <c r="J74" s="11">
        <v>1</v>
      </c>
      <c r="K74" s="11">
        <v>13</v>
      </c>
      <c r="L74" s="57" t="s">
        <v>215</v>
      </c>
      <c r="M74" s="58" t="s">
        <v>220</v>
      </c>
      <c r="N74" s="58" t="s">
        <v>229</v>
      </c>
      <c r="O74" s="58" t="s">
        <v>261</v>
      </c>
      <c r="P74" s="7"/>
      <c r="Q74" s="124">
        <f>Q75</f>
        <v>886</v>
      </c>
      <c r="R74" s="124">
        <f aca="true" t="shared" si="7" ref="R74:S77">R75</f>
        <v>500</v>
      </c>
      <c r="S74" s="124">
        <f t="shared" si="7"/>
        <v>500</v>
      </c>
    </row>
    <row r="75" spans="1:19" ht="18.75">
      <c r="A75" s="76"/>
      <c r="B75" s="73"/>
      <c r="C75" s="68"/>
      <c r="D75" s="69"/>
      <c r="E75" s="66"/>
      <c r="F75" s="66"/>
      <c r="G75" s="51"/>
      <c r="H75" s="2" t="s">
        <v>527</v>
      </c>
      <c r="I75" s="5">
        <v>668</v>
      </c>
      <c r="J75" s="11">
        <v>1</v>
      </c>
      <c r="K75" s="11">
        <v>13</v>
      </c>
      <c r="L75" s="57" t="s">
        <v>215</v>
      </c>
      <c r="M75" s="58" t="s">
        <v>217</v>
      </c>
      <c r="N75" s="58" t="s">
        <v>229</v>
      </c>
      <c r="O75" s="58" t="s">
        <v>261</v>
      </c>
      <c r="P75" s="7"/>
      <c r="Q75" s="124">
        <f>Q76</f>
        <v>886</v>
      </c>
      <c r="R75" s="124">
        <f t="shared" si="7"/>
        <v>500</v>
      </c>
      <c r="S75" s="124">
        <f t="shared" si="7"/>
        <v>500</v>
      </c>
    </row>
    <row r="76" spans="1:19" ht="31.5">
      <c r="A76" s="76"/>
      <c r="B76" s="73"/>
      <c r="C76" s="68"/>
      <c r="D76" s="69"/>
      <c r="E76" s="66"/>
      <c r="F76" s="66"/>
      <c r="G76" s="51"/>
      <c r="H76" s="2" t="s">
        <v>528</v>
      </c>
      <c r="I76" s="5">
        <v>668</v>
      </c>
      <c r="J76" s="11">
        <v>1</v>
      </c>
      <c r="K76" s="11">
        <v>13</v>
      </c>
      <c r="L76" s="57" t="s">
        <v>215</v>
      </c>
      <c r="M76" s="58" t="s">
        <v>217</v>
      </c>
      <c r="N76" s="58" t="s">
        <v>232</v>
      </c>
      <c r="O76" s="58" t="s">
        <v>261</v>
      </c>
      <c r="P76" s="7"/>
      <c r="Q76" s="124">
        <f>Q77</f>
        <v>886</v>
      </c>
      <c r="R76" s="124">
        <f t="shared" si="7"/>
        <v>500</v>
      </c>
      <c r="S76" s="124">
        <f t="shared" si="7"/>
        <v>500</v>
      </c>
    </row>
    <row r="77" spans="1:19" ht="18.75">
      <c r="A77" s="76"/>
      <c r="B77" s="73"/>
      <c r="C77" s="68"/>
      <c r="D77" s="69"/>
      <c r="E77" s="66"/>
      <c r="F77" s="66"/>
      <c r="G77" s="51"/>
      <c r="H77" s="2" t="s">
        <v>31</v>
      </c>
      <c r="I77" s="5">
        <v>668</v>
      </c>
      <c r="J77" s="11">
        <v>1</v>
      </c>
      <c r="K77" s="11">
        <v>13</v>
      </c>
      <c r="L77" s="57" t="s">
        <v>215</v>
      </c>
      <c r="M77" s="58" t="s">
        <v>217</v>
      </c>
      <c r="N77" s="58" t="s">
        <v>232</v>
      </c>
      <c r="O77" s="58" t="s">
        <v>398</v>
      </c>
      <c r="P77" s="7"/>
      <c r="Q77" s="124">
        <f>Q78</f>
        <v>886</v>
      </c>
      <c r="R77" s="124">
        <f t="shared" si="7"/>
        <v>500</v>
      </c>
      <c r="S77" s="124">
        <f t="shared" si="7"/>
        <v>500</v>
      </c>
    </row>
    <row r="78" spans="1:19" ht="18.75">
      <c r="A78" s="76"/>
      <c r="B78" s="73"/>
      <c r="C78" s="68"/>
      <c r="D78" s="69"/>
      <c r="E78" s="66"/>
      <c r="F78" s="66"/>
      <c r="G78" s="51"/>
      <c r="H78" s="2" t="s">
        <v>299</v>
      </c>
      <c r="I78" s="5">
        <v>668</v>
      </c>
      <c r="J78" s="11">
        <v>1</v>
      </c>
      <c r="K78" s="11">
        <v>13</v>
      </c>
      <c r="L78" s="57" t="s">
        <v>215</v>
      </c>
      <c r="M78" s="58" t="s">
        <v>217</v>
      </c>
      <c r="N78" s="58" t="s">
        <v>232</v>
      </c>
      <c r="O78" s="58" t="s">
        <v>398</v>
      </c>
      <c r="P78" s="7">
        <v>240</v>
      </c>
      <c r="Q78" s="124">
        <f>500+252.4+133.6</f>
        <v>886</v>
      </c>
      <c r="R78" s="126">
        <v>500</v>
      </c>
      <c r="S78" s="126">
        <v>500</v>
      </c>
    </row>
    <row r="79" spans="1:19" ht="31.5">
      <c r="A79" s="76"/>
      <c r="B79" s="73"/>
      <c r="C79" s="68"/>
      <c r="D79" s="69"/>
      <c r="E79" s="66"/>
      <c r="F79" s="66"/>
      <c r="G79" s="51"/>
      <c r="H79" s="2" t="s">
        <v>522</v>
      </c>
      <c r="I79" s="5">
        <v>668</v>
      </c>
      <c r="J79" s="11">
        <v>1</v>
      </c>
      <c r="K79" s="11">
        <v>13</v>
      </c>
      <c r="L79" s="57" t="s">
        <v>494</v>
      </c>
      <c r="M79" s="58" t="s">
        <v>220</v>
      </c>
      <c r="N79" s="58" t="s">
        <v>229</v>
      </c>
      <c r="O79" s="58" t="s">
        <v>261</v>
      </c>
      <c r="P79" s="7"/>
      <c r="Q79" s="124">
        <f>Q80+Q87+Q94</f>
        <v>56975.799999999996</v>
      </c>
      <c r="R79" s="124">
        <f>R80+R87+R94</f>
        <v>45196.50000000001</v>
      </c>
      <c r="S79" s="124">
        <f>S80+S87+S94</f>
        <v>46143.50000000001</v>
      </c>
    </row>
    <row r="80" spans="1:19" ht="31.5">
      <c r="A80" s="76"/>
      <c r="B80" s="73"/>
      <c r="C80" s="68"/>
      <c r="D80" s="69"/>
      <c r="E80" s="66"/>
      <c r="F80" s="66"/>
      <c r="G80" s="51"/>
      <c r="H80" s="2" t="s">
        <v>523</v>
      </c>
      <c r="I80" s="5">
        <v>668</v>
      </c>
      <c r="J80" s="11">
        <v>1</v>
      </c>
      <c r="K80" s="11">
        <v>13</v>
      </c>
      <c r="L80" s="57" t="s">
        <v>494</v>
      </c>
      <c r="M80" s="58" t="s">
        <v>220</v>
      </c>
      <c r="N80" s="58" t="s">
        <v>221</v>
      </c>
      <c r="O80" s="58" t="s">
        <v>261</v>
      </c>
      <c r="P80" s="7"/>
      <c r="Q80" s="124">
        <f>Q81+Q85</f>
        <v>3302.9</v>
      </c>
      <c r="R80" s="124">
        <f>R81+R85</f>
        <v>658</v>
      </c>
      <c r="S80" s="124">
        <f>S81+S85</f>
        <v>595</v>
      </c>
    </row>
    <row r="81" spans="1:19" ht="18.75">
      <c r="A81" s="76"/>
      <c r="B81" s="73"/>
      <c r="C81" s="68"/>
      <c r="D81" s="69"/>
      <c r="E81" s="66"/>
      <c r="F81" s="66"/>
      <c r="G81" s="51"/>
      <c r="H81" s="2" t="s">
        <v>60</v>
      </c>
      <c r="I81" s="5">
        <v>668</v>
      </c>
      <c r="J81" s="11">
        <v>1</v>
      </c>
      <c r="K81" s="11">
        <v>13</v>
      </c>
      <c r="L81" s="57" t="s">
        <v>494</v>
      </c>
      <c r="M81" s="58" t="s">
        <v>220</v>
      </c>
      <c r="N81" s="58" t="s">
        <v>221</v>
      </c>
      <c r="O81" s="58" t="s">
        <v>264</v>
      </c>
      <c r="P81" s="7"/>
      <c r="Q81" s="124">
        <f>Q82+Q83+Q84</f>
        <v>3302.9</v>
      </c>
      <c r="R81" s="124">
        <f>R82+R84</f>
        <v>658</v>
      </c>
      <c r="S81" s="124">
        <f>S82+S84</f>
        <v>595</v>
      </c>
    </row>
    <row r="82" spans="1:19" ht="18.75">
      <c r="A82" s="76"/>
      <c r="B82" s="73"/>
      <c r="C82" s="68"/>
      <c r="D82" s="69"/>
      <c r="E82" s="66"/>
      <c r="F82" s="66"/>
      <c r="G82" s="51"/>
      <c r="H82" s="2" t="s">
        <v>299</v>
      </c>
      <c r="I82" s="5">
        <v>668</v>
      </c>
      <c r="J82" s="11">
        <v>1</v>
      </c>
      <c r="K82" s="11">
        <v>13</v>
      </c>
      <c r="L82" s="57" t="s">
        <v>494</v>
      </c>
      <c r="M82" s="58" t="s">
        <v>220</v>
      </c>
      <c r="N82" s="58" t="s">
        <v>221</v>
      </c>
      <c r="O82" s="58" t="s">
        <v>264</v>
      </c>
      <c r="P82" s="7">
        <v>240</v>
      </c>
      <c r="Q82" s="124">
        <f>403+100+5.5+150-106.5+80+20+100</f>
        <v>752</v>
      </c>
      <c r="R82" s="126">
        <v>508</v>
      </c>
      <c r="S82" s="126">
        <v>445</v>
      </c>
    </row>
    <row r="83" spans="1:19" ht="18.75">
      <c r="A83" s="76"/>
      <c r="B83" s="73"/>
      <c r="C83" s="68"/>
      <c r="D83" s="69"/>
      <c r="E83" s="66"/>
      <c r="F83" s="66"/>
      <c r="G83" s="51"/>
      <c r="H83" s="2" t="s">
        <v>306</v>
      </c>
      <c r="I83" s="5">
        <v>668</v>
      </c>
      <c r="J83" s="11">
        <v>1</v>
      </c>
      <c r="K83" s="11">
        <v>13</v>
      </c>
      <c r="L83" s="57" t="s">
        <v>494</v>
      </c>
      <c r="M83" s="58" t="s">
        <v>220</v>
      </c>
      <c r="N83" s="58" t="s">
        <v>221</v>
      </c>
      <c r="O83" s="58" t="s">
        <v>264</v>
      </c>
      <c r="P83" s="7">
        <v>830</v>
      </c>
      <c r="Q83" s="124">
        <f>59+0.5+185.6+118.8</f>
        <v>363.9</v>
      </c>
      <c r="R83" s="126">
        <v>0</v>
      </c>
      <c r="S83" s="126">
        <v>0</v>
      </c>
    </row>
    <row r="84" spans="1:19" ht="18.75">
      <c r="A84" s="76"/>
      <c r="B84" s="73"/>
      <c r="C84" s="68"/>
      <c r="D84" s="69"/>
      <c r="E84" s="66"/>
      <c r="F84" s="66"/>
      <c r="G84" s="51"/>
      <c r="H84" s="2" t="s">
        <v>300</v>
      </c>
      <c r="I84" s="5">
        <v>668</v>
      </c>
      <c r="J84" s="11">
        <v>1</v>
      </c>
      <c r="K84" s="11">
        <v>13</v>
      </c>
      <c r="L84" s="57" t="s">
        <v>494</v>
      </c>
      <c r="M84" s="58" t="s">
        <v>220</v>
      </c>
      <c r="N84" s="58" t="s">
        <v>221</v>
      </c>
      <c r="O84" s="58" t="s">
        <v>264</v>
      </c>
      <c r="P84" s="7">
        <v>850</v>
      </c>
      <c r="Q84" s="124">
        <f>150+300-59+92.5+4-0.5+700+50+100+850</f>
        <v>2187</v>
      </c>
      <c r="R84" s="126">
        <v>150</v>
      </c>
      <c r="S84" s="126">
        <v>150</v>
      </c>
    </row>
    <row r="85" spans="1:19" ht="18.75" hidden="1">
      <c r="A85" s="76"/>
      <c r="B85" s="73"/>
      <c r="C85" s="68"/>
      <c r="D85" s="69"/>
      <c r="E85" s="66"/>
      <c r="F85" s="66"/>
      <c r="G85" s="51"/>
      <c r="H85" s="303" t="s">
        <v>462</v>
      </c>
      <c r="I85" s="5">
        <v>668</v>
      </c>
      <c r="J85" s="11">
        <v>1</v>
      </c>
      <c r="K85" s="11">
        <v>13</v>
      </c>
      <c r="L85" s="57" t="s">
        <v>494</v>
      </c>
      <c r="M85" s="58" t="s">
        <v>220</v>
      </c>
      <c r="N85" s="58" t="s">
        <v>221</v>
      </c>
      <c r="O85" s="58" t="s">
        <v>926</v>
      </c>
      <c r="P85" s="7"/>
      <c r="Q85" s="124">
        <f>Q86</f>
        <v>0</v>
      </c>
      <c r="R85" s="124">
        <f>R86</f>
        <v>0</v>
      </c>
      <c r="S85" s="124">
        <f>S86</f>
        <v>0</v>
      </c>
    </row>
    <row r="86" spans="1:19" ht="18.75" hidden="1">
      <c r="A86" s="76"/>
      <c r="B86" s="73"/>
      <c r="C86" s="68"/>
      <c r="D86" s="69"/>
      <c r="E86" s="66"/>
      <c r="F86" s="66"/>
      <c r="G86" s="51"/>
      <c r="H86" s="2" t="s">
        <v>299</v>
      </c>
      <c r="I86" s="5">
        <v>668</v>
      </c>
      <c r="J86" s="11">
        <v>1</v>
      </c>
      <c r="K86" s="11">
        <v>13</v>
      </c>
      <c r="L86" s="57" t="s">
        <v>494</v>
      </c>
      <c r="M86" s="58" t="s">
        <v>220</v>
      </c>
      <c r="N86" s="58" t="s">
        <v>221</v>
      </c>
      <c r="O86" s="58" t="s">
        <v>926</v>
      </c>
      <c r="P86" s="7">
        <v>240</v>
      </c>
      <c r="Q86" s="124">
        <f>2888.8-140-339.7-2409.1</f>
        <v>0</v>
      </c>
      <c r="R86" s="126">
        <v>0</v>
      </c>
      <c r="S86" s="126">
        <v>0</v>
      </c>
    </row>
    <row r="87" spans="1:19" ht="31.5">
      <c r="A87" s="76"/>
      <c r="B87" s="73"/>
      <c r="C87" s="68"/>
      <c r="D87" s="69"/>
      <c r="E87" s="66"/>
      <c r="F87" s="66"/>
      <c r="G87" s="51"/>
      <c r="H87" s="2" t="s">
        <v>524</v>
      </c>
      <c r="I87" s="5">
        <v>668</v>
      </c>
      <c r="J87" s="11">
        <v>1</v>
      </c>
      <c r="K87" s="11">
        <v>13</v>
      </c>
      <c r="L87" s="57" t="s">
        <v>494</v>
      </c>
      <c r="M87" s="58" t="s">
        <v>220</v>
      </c>
      <c r="N87" s="58" t="s">
        <v>223</v>
      </c>
      <c r="O87" s="58" t="s">
        <v>261</v>
      </c>
      <c r="P87" s="7"/>
      <c r="Q87" s="124">
        <f>Q88+Q91</f>
        <v>1345.8</v>
      </c>
      <c r="R87" s="124">
        <f>R88+R91</f>
        <v>1396.9</v>
      </c>
      <c r="S87" s="124">
        <f>S88+S91</f>
        <v>1397.9</v>
      </c>
    </row>
    <row r="88" spans="1:19" ht="47.25">
      <c r="A88" s="76"/>
      <c r="B88" s="73"/>
      <c r="C88" s="68"/>
      <c r="D88" s="69"/>
      <c r="E88" s="66"/>
      <c r="F88" s="66"/>
      <c r="G88" s="51"/>
      <c r="H88" s="2" t="s">
        <v>273</v>
      </c>
      <c r="I88" s="5">
        <v>668</v>
      </c>
      <c r="J88" s="11">
        <v>1</v>
      </c>
      <c r="K88" s="11">
        <v>13</v>
      </c>
      <c r="L88" s="57" t="s">
        <v>494</v>
      </c>
      <c r="M88" s="58" t="s">
        <v>220</v>
      </c>
      <c r="N88" s="58" t="s">
        <v>223</v>
      </c>
      <c r="O88" s="58" t="s">
        <v>269</v>
      </c>
      <c r="P88" s="7"/>
      <c r="Q88" s="124">
        <f>Q89+Q90</f>
        <v>419</v>
      </c>
      <c r="R88" s="124">
        <f>R89+R90</f>
        <v>420.1</v>
      </c>
      <c r="S88" s="124">
        <f>S89+S90</f>
        <v>421.1</v>
      </c>
    </row>
    <row r="89" spans="1:19" ht="18.75">
      <c r="A89" s="76"/>
      <c r="B89" s="73"/>
      <c r="C89" s="68"/>
      <c r="D89" s="69"/>
      <c r="E89" s="66"/>
      <c r="F89" s="66"/>
      <c r="G89" s="51"/>
      <c r="H89" s="2" t="s">
        <v>204</v>
      </c>
      <c r="I89" s="5">
        <v>668</v>
      </c>
      <c r="J89" s="11">
        <v>1</v>
      </c>
      <c r="K89" s="11">
        <v>13</v>
      </c>
      <c r="L89" s="57" t="s">
        <v>494</v>
      </c>
      <c r="M89" s="58" t="s">
        <v>220</v>
      </c>
      <c r="N89" s="58" t="s">
        <v>223</v>
      </c>
      <c r="O89" s="58" t="s">
        <v>269</v>
      </c>
      <c r="P89" s="7">
        <v>120</v>
      </c>
      <c r="Q89" s="124">
        <v>302.5</v>
      </c>
      <c r="R89" s="126">
        <v>302.5</v>
      </c>
      <c r="S89" s="126">
        <v>302.5</v>
      </c>
    </row>
    <row r="90" spans="1:19" ht="18.75">
      <c r="A90" s="76"/>
      <c r="B90" s="73"/>
      <c r="C90" s="68"/>
      <c r="D90" s="69"/>
      <c r="E90" s="66"/>
      <c r="F90" s="66"/>
      <c r="G90" s="51"/>
      <c r="H90" s="2" t="s">
        <v>299</v>
      </c>
      <c r="I90" s="5">
        <v>668</v>
      </c>
      <c r="J90" s="11">
        <v>1</v>
      </c>
      <c r="K90" s="11">
        <v>13</v>
      </c>
      <c r="L90" s="57" t="s">
        <v>494</v>
      </c>
      <c r="M90" s="58" t="s">
        <v>220</v>
      </c>
      <c r="N90" s="58" t="s">
        <v>223</v>
      </c>
      <c r="O90" s="58" t="s">
        <v>269</v>
      </c>
      <c r="P90" s="7">
        <v>240</v>
      </c>
      <c r="Q90" s="124">
        <v>116.5</v>
      </c>
      <c r="R90" s="126">
        <v>117.6</v>
      </c>
      <c r="S90" s="126">
        <v>118.6</v>
      </c>
    </row>
    <row r="91" spans="1:19" ht="18.75">
      <c r="A91" s="76"/>
      <c r="B91" s="73"/>
      <c r="C91" s="68"/>
      <c r="D91" s="69"/>
      <c r="E91" s="66"/>
      <c r="F91" s="66"/>
      <c r="G91" s="51"/>
      <c r="H91" s="2" t="s">
        <v>342</v>
      </c>
      <c r="I91" s="5">
        <v>668</v>
      </c>
      <c r="J91" s="11">
        <v>1</v>
      </c>
      <c r="K91" s="11">
        <v>13</v>
      </c>
      <c r="L91" s="57" t="s">
        <v>494</v>
      </c>
      <c r="M91" s="58" t="s">
        <v>220</v>
      </c>
      <c r="N91" s="58" t="s">
        <v>223</v>
      </c>
      <c r="O91" s="58" t="s">
        <v>341</v>
      </c>
      <c r="P91" s="7"/>
      <c r="Q91" s="124">
        <f>Q92+Q93</f>
        <v>926.8</v>
      </c>
      <c r="R91" s="124">
        <f>R92+R93</f>
        <v>976.8</v>
      </c>
      <c r="S91" s="124">
        <f>S92+S93</f>
        <v>976.8</v>
      </c>
    </row>
    <row r="92" spans="1:19" ht="18.75">
      <c r="A92" s="76"/>
      <c r="B92" s="73"/>
      <c r="C92" s="68"/>
      <c r="D92" s="69"/>
      <c r="E92" s="66"/>
      <c r="F92" s="66"/>
      <c r="G92" s="51"/>
      <c r="H92" s="2" t="s">
        <v>204</v>
      </c>
      <c r="I92" s="5">
        <v>668</v>
      </c>
      <c r="J92" s="11">
        <v>1</v>
      </c>
      <c r="K92" s="11">
        <v>13</v>
      </c>
      <c r="L92" s="57" t="s">
        <v>494</v>
      </c>
      <c r="M92" s="58" t="s">
        <v>220</v>
      </c>
      <c r="N92" s="58" t="s">
        <v>223</v>
      </c>
      <c r="O92" s="58" t="s">
        <v>341</v>
      </c>
      <c r="P92" s="7">
        <v>120</v>
      </c>
      <c r="Q92" s="124">
        <v>605.4</v>
      </c>
      <c r="R92" s="126">
        <v>605.4</v>
      </c>
      <c r="S92" s="126">
        <v>605.4</v>
      </c>
    </row>
    <row r="93" spans="1:19" ht="18.75">
      <c r="A93" s="76"/>
      <c r="B93" s="73"/>
      <c r="C93" s="68"/>
      <c r="D93" s="69"/>
      <c r="E93" s="66"/>
      <c r="F93" s="66"/>
      <c r="G93" s="51"/>
      <c r="H93" s="2" t="s">
        <v>299</v>
      </c>
      <c r="I93" s="5">
        <v>668</v>
      </c>
      <c r="J93" s="11">
        <v>1</v>
      </c>
      <c r="K93" s="11">
        <v>13</v>
      </c>
      <c r="L93" s="57" t="s">
        <v>494</v>
      </c>
      <c r="M93" s="58" t="s">
        <v>220</v>
      </c>
      <c r="N93" s="58" t="s">
        <v>223</v>
      </c>
      <c r="O93" s="58" t="s">
        <v>341</v>
      </c>
      <c r="P93" s="7">
        <v>240</v>
      </c>
      <c r="Q93" s="124">
        <f>417-50-45.6</f>
        <v>321.4</v>
      </c>
      <c r="R93" s="126">
        <f>417-45.6</f>
        <v>371.4</v>
      </c>
      <c r="S93" s="126">
        <f>417-45.6</f>
        <v>371.4</v>
      </c>
    </row>
    <row r="94" spans="1:19" ht="18.75">
      <c r="A94" s="76"/>
      <c r="B94" s="73"/>
      <c r="C94" s="68"/>
      <c r="D94" s="69"/>
      <c r="E94" s="66"/>
      <c r="F94" s="66"/>
      <c r="G94" s="51"/>
      <c r="H94" s="2" t="s">
        <v>525</v>
      </c>
      <c r="I94" s="5">
        <v>668</v>
      </c>
      <c r="J94" s="11">
        <v>1</v>
      </c>
      <c r="K94" s="11">
        <v>13</v>
      </c>
      <c r="L94" s="57" t="s">
        <v>494</v>
      </c>
      <c r="M94" s="58" t="s">
        <v>220</v>
      </c>
      <c r="N94" s="58" t="s">
        <v>239</v>
      </c>
      <c r="O94" s="58" t="s">
        <v>261</v>
      </c>
      <c r="P94" s="7"/>
      <c r="Q94" s="124">
        <f>Q95+Q98+Q100</f>
        <v>52327.1</v>
      </c>
      <c r="R94" s="124">
        <f>R95+R98+R100</f>
        <v>43141.600000000006</v>
      </c>
      <c r="S94" s="124">
        <f>S95+S98+S100</f>
        <v>44150.600000000006</v>
      </c>
    </row>
    <row r="95" spans="1:19" ht="18.75">
      <c r="A95" s="76"/>
      <c r="B95" s="73"/>
      <c r="C95" s="68"/>
      <c r="D95" s="69"/>
      <c r="E95" s="66"/>
      <c r="F95" s="66"/>
      <c r="G95" s="51"/>
      <c r="H95" s="2" t="s">
        <v>62</v>
      </c>
      <c r="I95" s="5">
        <v>668</v>
      </c>
      <c r="J95" s="11">
        <v>1</v>
      </c>
      <c r="K95" s="11">
        <v>13</v>
      </c>
      <c r="L95" s="57" t="s">
        <v>494</v>
      </c>
      <c r="M95" s="58" t="s">
        <v>220</v>
      </c>
      <c r="N95" s="58" t="s">
        <v>239</v>
      </c>
      <c r="O95" s="58" t="s">
        <v>63</v>
      </c>
      <c r="P95" s="7"/>
      <c r="Q95" s="124">
        <f>Q96+Q97</f>
        <v>35586.2</v>
      </c>
      <c r="R95" s="124">
        <f>R96+R97</f>
        <v>26400.7</v>
      </c>
      <c r="S95" s="124">
        <f>S96+S97</f>
        <v>27409.7</v>
      </c>
    </row>
    <row r="96" spans="1:19" ht="18.75">
      <c r="A96" s="76"/>
      <c r="B96" s="73"/>
      <c r="C96" s="68"/>
      <c r="D96" s="69"/>
      <c r="E96" s="66"/>
      <c r="F96" s="66"/>
      <c r="G96" s="51"/>
      <c r="H96" s="2" t="s">
        <v>301</v>
      </c>
      <c r="I96" s="5">
        <v>668</v>
      </c>
      <c r="J96" s="11">
        <v>1</v>
      </c>
      <c r="K96" s="11">
        <v>13</v>
      </c>
      <c r="L96" s="57" t="s">
        <v>494</v>
      </c>
      <c r="M96" s="58" t="s">
        <v>220</v>
      </c>
      <c r="N96" s="58" t="s">
        <v>239</v>
      </c>
      <c r="O96" s="58" t="s">
        <v>63</v>
      </c>
      <c r="P96" s="7">
        <v>610</v>
      </c>
      <c r="Q96" s="124">
        <f>239.2+207.8</f>
        <v>447</v>
      </c>
      <c r="R96" s="126">
        <v>300</v>
      </c>
      <c r="S96" s="126">
        <v>300</v>
      </c>
    </row>
    <row r="97" spans="1:19" ht="18.75">
      <c r="A97" s="76"/>
      <c r="B97" s="73"/>
      <c r="C97" s="68"/>
      <c r="D97" s="69"/>
      <c r="E97" s="66"/>
      <c r="F97" s="66"/>
      <c r="G97" s="51"/>
      <c r="H97" s="2" t="s">
        <v>318</v>
      </c>
      <c r="I97" s="5">
        <v>668</v>
      </c>
      <c r="J97" s="11">
        <v>1</v>
      </c>
      <c r="K97" s="11">
        <v>13</v>
      </c>
      <c r="L97" s="57" t="s">
        <v>494</v>
      </c>
      <c r="M97" s="58" t="s">
        <v>220</v>
      </c>
      <c r="N97" s="58" t="s">
        <v>239</v>
      </c>
      <c r="O97" s="58" t="s">
        <v>63</v>
      </c>
      <c r="P97" s="7">
        <v>620</v>
      </c>
      <c r="Q97" s="124">
        <f>27299.5+887.6+3986+15+2951.1</f>
        <v>35139.2</v>
      </c>
      <c r="R97" s="126">
        <f>27500.7-1400</f>
        <v>26100.7</v>
      </c>
      <c r="S97" s="126">
        <v>27109.7</v>
      </c>
    </row>
    <row r="98" spans="1:19" ht="31.5">
      <c r="A98" s="72"/>
      <c r="B98" s="73"/>
      <c r="C98" s="68"/>
      <c r="D98" s="69"/>
      <c r="E98" s="66"/>
      <c r="F98" s="66"/>
      <c r="G98" s="51"/>
      <c r="H98" s="2" t="s">
        <v>374</v>
      </c>
      <c r="I98" s="5">
        <v>668</v>
      </c>
      <c r="J98" s="11">
        <v>1</v>
      </c>
      <c r="K98" s="11">
        <v>13</v>
      </c>
      <c r="L98" s="57" t="s">
        <v>494</v>
      </c>
      <c r="M98" s="58" t="s">
        <v>220</v>
      </c>
      <c r="N98" s="58" t="s">
        <v>239</v>
      </c>
      <c r="O98" s="58" t="s">
        <v>373</v>
      </c>
      <c r="P98" s="7"/>
      <c r="Q98" s="124">
        <f>Q99</f>
        <v>11780.1</v>
      </c>
      <c r="R98" s="124">
        <f>R99</f>
        <v>11780.1</v>
      </c>
      <c r="S98" s="124">
        <f>S99</f>
        <v>11780.1</v>
      </c>
    </row>
    <row r="99" spans="1:19" ht="18.75">
      <c r="A99" s="59"/>
      <c r="B99" s="60"/>
      <c r="C99" s="68"/>
      <c r="D99" s="73"/>
      <c r="E99" s="76"/>
      <c r="F99" s="76"/>
      <c r="G99" s="51"/>
      <c r="H99" s="2" t="s">
        <v>318</v>
      </c>
      <c r="I99" s="5">
        <v>668</v>
      </c>
      <c r="J99" s="11">
        <v>1</v>
      </c>
      <c r="K99" s="11">
        <v>13</v>
      </c>
      <c r="L99" s="57" t="s">
        <v>494</v>
      </c>
      <c r="M99" s="58" t="s">
        <v>220</v>
      </c>
      <c r="N99" s="58" t="s">
        <v>239</v>
      </c>
      <c r="O99" s="58" t="s">
        <v>373</v>
      </c>
      <c r="P99" s="7">
        <v>620</v>
      </c>
      <c r="Q99" s="124">
        <v>11780.1</v>
      </c>
      <c r="R99" s="124">
        <v>11780.1</v>
      </c>
      <c r="S99" s="124">
        <v>11780.1</v>
      </c>
    </row>
    <row r="100" spans="1:19" ht="63">
      <c r="A100" s="72"/>
      <c r="B100" s="73"/>
      <c r="C100" s="68"/>
      <c r="D100" s="69"/>
      <c r="E100" s="66"/>
      <c r="F100" s="66"/>
      <c r="G100" s="51"/>
      <c r="H100" s="2" t="s">
        <v>64</v>
      </c>
      <c r="I100" s="5">
        <v>668</v>
      </c>
      <c r="J100" s="11">
        <v>1</v>
      </c>
      <c r="K100" s="11">
        <v>13</v>
      </c>
      <c r="L100" s="57" t="s">
        <v>494</v>
      </c>
      <c r="M100" s="58" t="s">
        <v>220</v>
      </c>
      <c r="N100" s="58" t="s">
        <v>239</v>
      </c>
      <c r="O100" s="58" t="s">
        <v>265</v>
      </c>
      <c r="P100" s="7"/>
      <c r="Q100" s="124">
        <f>Q101</f>
        <v>4960.8</v>
      </c>
      <c r="R100" s="124">
        <f>R101</f>
        <v>4960.8</v>
      </c>
      <c r="S100" s="124">
        <f>S101</f>
        <v>4960.8</v>
      </c>
    </row>
    <row r="101" spans="1:19" ht="18.75">
      <c r="A101" s="59"/>
      <c r="B101" s="60"/>
      <c r="C101" s="68"/>
      <c r="D101" s="73"/>
      <c r="E101" s="76"/>
      <c r="F101" s="76"/>
      <c r="G101" s="51"/>
      <c r="H101" s="2" t="s">
        <v>301</v>
      </c>
      <c r="I101" s="5">
        <v>668</v>
      </c>
      <c r="J101" s="11">
        <v>1</v>
      </c>
      <c r="K101" s="11">
        <v>13</v>
      </c>
      <c r="L101" s="57" t="s">
        <v>494</v>
      </c>
      <c r="M101" s="58" t="s">
        <v>220</v>
      </c>
      <c r="N101" s="58" t="s">
        <v>239</v>
      </c>
      <c r="O101" s="58" t="s">
        <v>265</v>
      </c>
      <c r="P101" s="7">
        <v>610</v>
      </c>
      <c r="Q101" s="124">
        <v>4960.8</v>
      </c>
      <c r="R101" s="124">
        <v>4960.8</v>
      </c>
      <c r="S101" s="124">
        <v>4960.8</v>
      </c>
    </row>
    <row r="102" spans="1:19" ht="18.75">
      <c r="A102" s="72"/>
      <c r="B102" s="73"/>
      <c r="C102" s="68"/>
      <c r="D102" s="69"/>
      <c r="E102" s="66"/>
      <c r="F102" s="66"/>
      <c r="G102" s="51"/>
      <c r="H102" s="2" t="s">
        <v>75</v>
      </c>
      <c r="I102" s="5">
        <v>668</v>
      </c>
      <c r="J102" s="11">
        <v>1</v>
      </c>
      <c r="K102" s="11">
        <v>13</v>
      </c>
      <c r="L102" s="57" t="s">
        <v>61</v>
      </c>
      <c r="M102" s="58" t="s">
        <v>220</v>
      </c>
      <c r="N102" s="58" t="s">
        <v>229</v>
      </c>
      <c r="O102" s="58" t="s">
        <v>261</v>
      </c>
      <c r="P102" s="7"/>
      <c r="Q102" s="124">
        <f>Q103</f>
        <v>344.7</v>
      </c>
      <c r="R102" s="124">
        <f>R103</f>
        <v>0</v>
      </c>
      <c r="S102" s="124">
        <f>S103</f>
        <v>0</v>
      </c>
    </row>
    <row r="103" spans="1:19" ht="18.75">
      <c r="A103" s="72"/>
      <c r="B103" s="73"/>
      <c r="C103" s="68"/>
      <c r="D103" s="69"/>
      <c r="E103" s="66"/>
      <c r="F103" s="66"/>
      <c r="G103" s="51"/>
      <c r="H103" s="2" t="s">
        <v>69</v>
      </c>
      <c r="I103" s="5">
        <v>668</v>
      </c>
      <c r="J103" s="11">
        <v>1</v>
      </c>
      <c r="K103" s="11">
        <v>13</v>
      </c>
      <c r="L103" s="57" t="s">
        <v>61</v>
      </c>
      <c r="M103" s="58" t="s">
        <v>231</v>
      </c>
      <c r="N103" s="58" t="s">
        <v>229</v>
      </c>
      <c r="O103" s="58" t="s">
        <v>261</v>
      </c>
      <c r="P103" s="7"/>
      <c r="Q103" s="124">
        <f>Q104+Q105</f>
        <v>344.7</v>
      </c>
      <c r="R103" s="124">
        <f>R104</f>
        <v>0</v>
      </c>
      <c r="S103" s="124">
        <f>S104</f>
        <v>0</v>
      </c>
    </row>
    <row r="104" spans="1:19" ht="18.75">
      <c r="A104" s="72"/>
      <c r="B104" s="73"/>
      <c r="C104" s="68"/>
      <c r="D104" s="69"/>
      <c r="E104" s="66"/>
      <c r="F104" s="66"/>
      <c r="G104" s="51"/>
      <c r="H104" s="2" t="s">
        <v>299</v>
      </c>
      <c r="I104" s="5">
        <v>668</v>
      </c>
      <c r="J104" s="11">
        <v>1</v>
      </c>
      <c r="K104" s="11">
        <v>13</v>
      </c>
      <c r="L104" s="57" t="s">
        <v>61</v>
      </c>
      <c r="M104" s="58" t="s">
        <v>231</v>
      </c>
      <c r="N104" s="58" t="s">
        <v>229</v>
      </c>
      <c r="O104" s="58" t="s">
        <v>261</v>
      </c>
      <c r="P104" s="7">
        <v>240</v>
      </c>
      <c r="Q104" s="124">
        <v>175.6</v>
      </c>
      <c r="R104" s="126">
        <v>0</v>
      </c>
      <c r="S104" s="126">
        <v>0</v>
      </c>
    </row>
    <row r="105" spans="1:19" ht="18.75">
      <c r="A105" s="76"/>
      <c r="B105" s="73"/>
      <c r="C105" s="68"/>
      <c r="D105" s="73"/>
      <c r="E105" s="76"/>
      <c r="F105" s="76"/>
      <c r="G105" s="51"/>
      <c r="H105" s="2" t="s">
        <v>318</v>
      </c>
      <c r="I105" s="5">
        <v>668</v>
      </c>
      <c r="J105" s="11">
        <v>1</v>
      </c>
      <c r="K105" s="11">
        <v>13</v>
      </c>
      <c r="L105" s="57" t="s">
        <v>61</v>
      </c>
      <c r="M105" s="58" t="s">
        <v>231</v>
      </c>
      <c r="N105" s="58" t="s">
        <v>229</v>
      </c>
      <c r="O105" s="58" t="s">
        <v>261</v>
      </c>
      <c r="P105" s="7">
        <v>620</v>
      </c>
      <c r="Q105" s="124">
        <v>169.1</v>
      </c>
      <c r="R105" s="124">
        <v>0</v>
      </c>
      <c r="S105" s="124">
        <v>0</v>
      </c>
    </row>
    <row r="106" spans="1:19" s="113" customFormat="1" ht="19.5">
      <c r="A106" s="106"/>
      <c r="B106" s="128"/>
      <c r="C106" s="104"/>
      <c r="D106" s="128"/>
      <c r="E106" s="106"/>
      <c r="F106" s="106"/>
      <c r="G106" s="84"/>
      <c r="H106" s="227" t="s">
        <v>256</v>
      </c>
      <c r="I106" s="99">
        <v>668</v>
      </c>
      <c r="J106" s="86">
        <v>3</v>
      </c>
      <c r="K106" s="86" t="s">
        <v>262</v>
      </c>
      <c r="L106" s="87"/>
      <c r="M106" s="88"/>
      <c r="N106" s="88"/>
      <c r="O106" s="88"/>
      <c r="P106" s="85"/>
      <c r="Q106" s="123">
        <f>Q107+Q129+Q121</f>
        <v>5422.6</v>
      </c>
      <c r="R106" s="123">
        <f>R107+R129+R121</f>
        <v>6367.1</v>
      </c>
      <c r="S106" s="123">
        <f>S107+S129+S121</f>
        <v>5175.1</v>
      </c>
    </row>
    <row r="107" spans="1:19" s="113" customFormat="1" ht="19.5">
      <c r="A107" s="106"/>
      <c r="B107" s="128"/>
      <c r="C107" s="104"/>
      <c r="D107" s="107"/>
      <c r="E107" s="92"/>
      <c r="F107" s="92"/>
      <c r="G107" s="84"/>
      <c r="H107" s="227" t="s">
        <v>458</v>
      </c>
      <c r="I107" s="99">
        <v>668</v>
      </c>
      <c r="J107" s="86">
        <v>3</v>
      </c>
      <c r="K107" s="86">
        <v>9</v>
      </c>
      <c r="L107" s="87"/>
      <c r="M107" s="88"/>
      <c r="N107" s="88"/>
      <c r="O107" s="88"/>
      <c r="P107" s="85"/>
      <c r="Q107" s="123">
        <f>Q108</f>
        <v>3282.6000000000004</v>
      </c>
      <c r="R107" s="123">
        <f>R108</f>
        <v>2967.8</v>
      </c>
      <c r="S107" s="123">
        <f>S108</f>
        <v>2966.8</v>
      </c>
    </row>
    <row r="108" spans="1:19" ht="31.5">
      <c r="A108" s="72"/>
      <c r="B108" s="73"/>
      <c r="C108" s="68"/>
      <c r="D108" s="69"/>
      <c r="E108" s="66"/>
      <c r="F108" s="66"/>
      <c r="G108" s="51"/>
      <c r="H108" s="2" t="s">
        <v>526</v>
      </c>
      <c r="I108" s="5">
        <v>668</v>
      </c>
      <c r="J108" s="11">
        <v>3</v>
      </c>
      <c r="K108" s="11">
        <v>9</v>
      </c>
      <c r="L108" s="57" t="s">
        <v>215</v>
      </c>
      <c r="M108" s="58" t="s">
        <v>220</v>
      </c>
      <c r="N108" s="58" t="s">
        <v>229</v>
      </c>
      <c r="O108" s="58" t="s">
        <v>261</v>
      </c>
      <c r="P108" s="7"/>
      <c r="Q108" s="124">
        <f>Q113+Q109</f>
        <v>3282.6000000000004</v>
      </c>
      <c r="R108" s="124">
        <f>R113+R109</f>
        <v>2967.8</v>
      </c>
      <c r="S108" s="124">
        <f>S113+S109</f>
        <v>2966.8</v>
      </c>
    </row>
    <row r="109" spans="1:19" ht="18.75">
      <c r="A109" s="72"/>
      <c r="B109" s="73"/>
      <c r="C109" s="68"/>
      <c r="D109" s="69"/>
      <c r="E109" s="66"/>
      <c r="F109" s="66"/>
      <c r="G109" s="51"/>
      <c r="H109" s="2" t="s">
        <v>268</v>
      </c>
      <c r="I109" s="5">
        <v>668</v>
      </c>
      <c r="J109" s="11">
        <v>3</v>
      </c>
      <c r="K109" s="11">
        <v>9</v>
      </c>
      <c r="L109" s="57" t="s">
        <v>215</v>
      </c>
      <c r="M109" s="58" t="s">
        <v>222</v>
      </c>
      <c r="N109" s="58" t="s">
        <v>229</v>
      </c>
      <c r="O109" s="58" t="s">
        <v>261</v>
      </c>
      <c r="P109" s="7"/>
      <c r="Q109" s="124">
        <f aca="true" t="shared" si="8" ref="Q109:S111">Q110</f>
        <v>148</v>
      </c>
      <c r="R109" s="124">
        <f t="shared" si="8"/>
        <v>0</v>
      </c>
      <c r="S109" s="124">
        <f t="shared" si="8"/>
        <v>0</v>
      </c>
    </row>
    <row r="110" spans="1:19" ht="31.5">
      <c r="A110" s="72"/>
      <c r="B110" s="73"/>
      <c r="C110" s="68"/>
      <c r="D110" s="69"/>
      <c r="E110" s="66"/>
      <c r="F110" s="66"/>
      <c r="G110" s="51"/>
      <c r="H110" s="2" t="s">
        <v>531</v>
      </c>
      <c r="I110" s="5">
        <v>668</v>
      </c>
      <c r="J110" s="11">
        <v>3</v>
      </c>
      <c r="K110" s="11">
        <v>9</v>
      </c>
      <c r="L110" s="57" t="s">
        <v>215</v>
      </c>
      <c r="M110" s="58" t="s">
        <v>222</v>
      </c>
      <c r="N110" s="58" t="s">
        <v>236</v>
      </c>
      <c r="O110" s="58" t="s">
        <v>261</v>
      </c>
      <c r="P110" s="7"/>
      <c r="Q110" s="124">
        <f t="shared" si="8"/>
        <v>148</v>
      </c>
      <c r="R110" s="124">
        <f t="shared" si="8"/>
        <v>0</v>
      </c>
      <c r="S110" s="124">
        <f t="shared" si="8"/>
        <v>0</v>
      </c>
    </row>
    <row r="111" spans="1:19" ht="18.75">
      <c r="A111" s="72"/>
      <c r="B111" s="73"/>
      <c r="C111" s="68"/>
      <c r="D111" s="69"/>
      <c r="E111" s="66"/>
      <c r="F111" s="66"/>
      <c r="G111" s="51"/>
      <c r="H111" s="2" t="s">
        <v>297</v>
      </c>
      <c r="I111" s="5">
        <v>668</v>
      </c>
      <c r="J111" s="11">
        <v>3</v>
      </c>
      <c r="K111" s="11">
        <v>9</v>
      </c>
      <c r="L111" s="57" t="s">
        <v>215</v>
      </c>
      <c r="M111" s="58" t="s">
        <v>222</v>
      </c>
      <c r="N111" s="58" t="s">
        <v>236</v>
      </c>
      <c r="O111" s="58" t="s">
        <v>67</v>
      </c>
      <c r="P111" s="7"/>
      <c r="Q111" s="124">
        <f t="shared" si="8"/>
        <v>148</v>
      </c>
      <c r="R111" s="124">
        <f t="shared" si="8"/>
        <v>0</v>
      </c>
      <c r="S111" s="124">
        <f t="shared" si="8"/>
        <v>0</v>
      </c>
    </row>
    <row r="112" spans="1:19" ht="18.75">
      <c r="A112" s="72"/>
      <c r="B112" s="73"/>
      <c r="C112" s="68"/>
      <c r="D112" s="69"/>
      <c r="E112" s="66"/>
      <c r="F112" s="66"/>
      <c r="G112" s="51"/>
      <c r="H112" s="2" t="s">
        <v>299</v>
      </c>
      <c r="I112" s="5">
        <v>668</v>
      </c>
      <c r="J112" s="11">
        <v>3</v>
      </c>
      <c r="K112" s="11">
        <v>9</v>
      </c>
      <c r="L112" s="57" t="s">
        <v>215</v>
      </c>
      <c r="M112" s="58" t="s">
        <v>222</v>
      </c>
      <c r="N112" s="58" t="s">
        <v>236</v>
      </c>
      <c r="O112" s="58" t="s">
        <v>67</v>
      </c>
      <c r="P112" s="7">
        <v>240</v>
      </c>
      <c r="Q112" s="124">
        <v>148</v>
      </c>
      <c r="R112" s="124">
        <v>0</v>
      </c>
      <c r="S112" s="124">
        <v>0</v>
      </c>
    </row>
    <row r="113" spans="1:19" ht="31.5">
      <c r="A113" s="59"/>
      <c r="B113" s="60"/>
      <c r="C113" s="68"/>
      <c r="D113" s="73"/>
      <c r="E113" s="76"/>
      <c r="F113" s="76"/>
      <c r="G113" s="51"/>
      <c r="H113" s="2" t="s">
        <v>1006</v>
      </c>
      <c r="I113" s="5">
        <v>668</v>
      </c>
      <c r="J113" s="11">
        <v>3</v>
      </c>
      <c r="K113" s="11">
        <v>9</v>
      </c>
      <c r="L113" s="57" t="s">
        <v>215</v>
      </c>
      <c r="M113" s="58" t="s">
        <v>217</v>
      </c>
      <c r="N113" s="58" t="s">
        <v>229</v>
      </c>
      <c r="O113" s="58" t="s">
        <v>261</v>
      </c>
      <c r="P113" s="7"/>
      <c r="Q113" s="124">
        <f>Q114</f>
        <v>3134.6000000000004</v>
      </c>
      <c r="R113" s="124">
        <f>R114</f>
        <v>2967.8</v>
      </c>
      <c r="S113" s="124">
        <f>S114</f>
        <v>2966.8</v>
      </c>
    </row>
    <row r="114" spans="1:19" ht="31.5">
      <c r="A114" s="72"/>
      <c r="B114" s="73"/>
      <c r="C114" s="68"/>
      <c r="D114" s="69"/>
      <c r="E114" s="66"/>
      <c r="F114" s="66"/>
      <c r="G114" s="51"/>
      <c r="H114" s="2" t="s">
        <v>1007</v>
      </c>
      <c r="I114" s="5">
        <v>668</v>
      </c>
      <c r="J114" s="11">
        <v>3</v>
      </c>
      <c r="K114" s="11">
        <v>9</v>
      </c>
      <c r="L114" s="57" t="s">
        <v>215</v>
      </c>
      <c r="M114" s="58" t="s">
        <v>217</v>
      </c>
      <c r="N114" s="58" t="s">
        <v>221</v>
      </c>
      <c r="O114" s="58" t="s">
        <v>261</v>
      </c>
      <c r="P114" s="7"/>
      <c r="Q114" s="124">
        <f>Q115+Q119</f>
        <v>3134.6000000000004</v>
      </c>
      <c r="R114" s="124">
        <f>R115+R119</f>
        <v>2967.8</v>
      </c>
      <c r="S114" s="124">
        <f>S115+S119</f>
        <v>2966.8</v>
      </c>
    </row>
    <row r="115" spans="1:19" ht="18.75">
      <c r="A115" s="59"/>
      <c r="B115" s="60"/>
      <c r="C115" s="68"/>
      <c r="D115" s="73"/>
      <c r="E115" s="76"/>
      <c r="F115" s="76"/>
      <c r="G115" s="51"/>
      <c r="H115" s="2" t="s">
        <v>62</v>
      </c>
      <c r="I115" s="5">
        <v>668</v>
      </c>
      <c r="J115" s="11">
        <v>3</v>
      </c>
      <c r="K115" s="11">
        <v>9</v>
      </c>
      <c r="L115" s="57" t="s">
        <v>215</v>
      </c>
      <c r="M115" s="58" t="s">
        <v>217</v>
      </c>
      <c r="N115" s="58" t="s">
        <v>221</v>
      </c>
      <c r="O115" s="58" t="s">
        <v>63</v>
      </c>
      <c r="P115" s="7"/>
      <c r="Q115" s="124">
        <f>Q116+Q117+Q118</f>
        <v>2003.4</v>
      </c>
      <c r="R115" s="124">
        <f>R116+R117+R118</f>
        <v>1836.6</v>
      </c>
      <c r="S115" s="124">
        <f>S116+S117+S118</f>
        <v>1835.6</v>
      </c>
    </row>
    <row r="116" spans="1:19" ht="18.75">
      <c r="A116" s="76"/>
      <c r="B116" s="73"/>
      <c r="C116" s="68"/>
      <c r="D116" s="69"/>
      <c r="E116" s="66"/>
      <c r="F116" s="66"/>
      <c r="G116" s="51"/>
      <c r="H116" s="2" t="s">
        <v>302</v>
      </c>
      <c r="I116" s="5">
        <v>668</v>
      </c>
      <c r="J116" s="11">
        <v>3</v>
      </c>
      <c r="K116" s="11">
        <v>9</v>
      </c>
      <c r="L116" s="57" t="s">
        <v>215</v>
      </c>
      <c r="M116" s="58" t="s">
        <v>217</v>
      </c>
      <c r="N116" s="58" t="s">
        <v>221</v>
      </c>
      <c r="O116" s="58" t="s">
        <v>63</v>
      </c>
      <c r="P116" s="7">
        <v>110</v>
      </c>
      <c r="Q116" s="124">
        <f>1589.7+202.7+0.6</f>
        <v>1793</v>
      </c>
      <c r="R116" s="124">
        <v>1675.6</v>
      </c>
      <c r="S116" s="124">
        <v>1675.6</v>
      </c>
    </row>
    <row r="117" spans="1:19" ht="18.75">
      <c r="A117" s="72"/>
      <c r="B117" s="73"/>
      <c r="C117" s="68"/>
      <c r="D117" s="69"/>
      <c r="E117" s="66"/>
      <c r="F117" s="66"/>
      <c r="G117" s="51"/>
      <c r="H117" s="2" t="s">
        <v>299</v>
      </c>
      <c r="I117" s="5">
        <v>668</v>
      </c>
      <c r="J117" s="11">
        <v>3</v>
      </c>
      <c r="K117" s="11">
        <v>9</v>
      </c>
      <c r="L117" s="57" t="s">
        <v>215</v>
      </c>
      <c r="M117" s="58" t="s">
        <v>217</v>
      </c>
      <c r="N117" s="58" t="s">
        <v>221</v>
      </c>
      <c r="O117" s="58" t="s">
        <v>63</v>
      </c>
      <c r="P117" s="7">
        <v>240</v>
      </c>
      <c r="Q117" s="124">
        <f>211-0.6</f>
        <v>210.4</v>
      </c>
      <c r="R117" s="126">
        <f>211-50</f>
        <v>161</v>
      </c>
      <c r="S117" s="126">
        <v>160</v>
      </c>
    </row>
    <row r="118" spans="1:19" ht="18.75" hidden="1">
      <c r="A118" s="59"/>
      <c r="B118" s="60"/>
      <c r="C118" s="68"/>
      <c r="D118" s="73"/>
      <c r="E118" s="76"/>
      <c r="F118" s="76"/>
      <c r="G118" s="51"/>
      <c r="H118" s="2" t="s">
        <v>300</v>
      </c>
      <c r="I118" s="5">
        <v>668</v>
      </c>
      <c r="J118" s="11">
        <v>3</v>
      </c>
      <c r="K118" s="11">
        <v>9</v>
      </c>
      <c r="L118" s="57" t="s">
        <v>215</v>
      </c>
      <c r="M118" s="58" t="s">
        <v>217</v>
      </c>
      <c r="N118" s="58" t="s">
        <v>221</v>
      </c>
      <c r="O118" s="58" t="s">
        <v>63</v>
      </c>
      <c r="P118" s="7">
        <v>850</v>
      </c>
      <c r="Q118" s="124"/>
      <c r="R118" s="124"/>
      <c r="S118" s="124"/>
    </row>
    <row r="119" spans="1:19" ht="31.5">
      <c r="A119" s="72"/>
      <c r="B119" s="73"/>
      <c r="C119" s="68"/>
      <c r="D119" s="69"/>
      <c r="E119" s="66"/>
      <c r="F119" s="66"/>
      <c r="G119" s="51"/>
      <c r="H119" s="2" t="s">
        <v>374</v>
      </c>
      <c r="I119" s="5">
        <v>668</v>
      </c>
      <c r="J119" s="11">
        <v>3</v>
      </c>
      <c r="K119" s="11">
        <v>9</v>
      </c>
      <c r="L119" s="57" t="s">
        <v>215</v>
      </c>
      <c r="M119" s="58" t="s">
        <v>217</v>
      </c>
      <c r="N119" s="58" t="s">
        <v>221</v>
      </c>
      <c r="O119" s="58" t="s">
        <v>373</v>
      </c>
      <c r="P119" s="7"/>
      <c r="Q119" s="124">
        <f>Q120</f>
        <v>1131.2</v>
      </c>
      <c r="R119" s="124">
        <f>R120</f>
        <v>1131.2</v>
      </c>
      <c r="S119" s="124">
        <f>S120</f>
        <v>1131.2</v>
      </c>
    </row>
    <row r="120" spans="1:19" ht="18.75">
      <c r="A120" s="59"/>
      <c r="B120" s="60"/>
      <c r="C120" s="68"/>
      <c r="D120" s="73"/>
      <c r="E120" s="76"/>
      <c r="F120" s="76"/>
      <c r="G120" s="51"/>
      <c r="H120" s="2" t="s">
        <v>302</v>
      </c>
      <c r="I120" s="5">
        <v>668</v>
      </c>
      <c r="J120" s="11">
        <v>3</v>
      </c>
      <c r="K120" s="11">
        <v>9</v>
      </c>
      <c r="L120" s="57" t="s">
        <v>215</v>
      </c>
      <c r="M120" s="58" t="s">
        <v>217</v>
      </c>
      <c r="N120" s="58" t="s">
        <v>221</v>
      </c>
      <c r="O120" s="58" t="s">
        <v>373</v>
      </c>
      <c r="P120" s="7">
        <v>110</v>
      </c>
      <c r="Q120" s="124">
        <v>1131.2</v>
      </c>
      <c r="R120" s="124">
        <v>1131.2</v>
      </c>
      <c r="S120" s="124">
        <v>1131.2</v>
      </c>
    </row>
    <row r="121" spans="1:19" s="113" customFormat="1" ht="31.5">
      <c r="A121" s="106"/>
      <c r="B121" s="128"/>
      <c r="C121" s="104"/>
      <c r="D121" s="128"/>
      <c r="E121" s="106"/>
      <c r="F121" s="106"/>
      <c r="G121" s="84"/>
      <c r="H121" s="96" t="s">
        <v>888</v>
      </c>
      <c r="I121" s="99">
        <v>668</v>
      </c>
      <c r="J121" s="86">
        <v>3</v>
      </c>
      <c r="K121" s="86">
        <v>10</v>
      </c>
      <c r="L121" s="87"/>
      <c r="M121" s="88"/>
      <c r="N121" s="88"/>
      <c r="O121" s="88"/>
      <c r="P121" s="85"/>
      <c r="Q121" s="123">
        <f aca="true" t="shared" si="9" ref="Q121:S125">Q122</f>
        <v>2000</v>
      </c>
      <c r="R121" s="123">
        <f t="shared" si="9"/>
        <v>3176</v>
      </c>
      <c r="S121" s="123">
        <f t="shared" si="9"/>
        <v>1985</v>
      </c>
    </row>
    <row r="122" spans="1:19" ht="31.5">
      <c r="A122" s="76"/>
      <c r="B122" s="73"/>
      <c r="C122" s="68"/>
      <c r="D122" s="73"/>
      <c r="E122" s="76"/>
      <c r="F122" s="76"/>
      <c r="G122" s="51"/>
      <c r="H122" s="2" t="s">
        <v>526</v>
      </c>
      <c r="I122" s="5">
        <v>668</v>
      </c>
      <c r="J122" s="11">
        <v>3</v>
      </c>
      <c r="K122" s="11">
        <v>10</v>
      </c>
      <c r="L122" s="57" t="s">
        <v>215</v>
      </c>
      <c r="M122" s="58" t="s">
        <v>220</v>
      </c>
      <c r="N122" s="58" t="s">
        <v>229</v>
      </c>
      <c r="O122" s="58" t="s">
        <v>261</v>
      </c>
      <c r="P122" s="7"/>
      <c r="Q122" s="124">
        <f t="shared" si="9"/>
        <v>2000</v>
      </c>
      <c r="R122" s="124">
        <f t="shared" si="9"/>
        <v>3176</v>
      </c>
      <c r="S122" s="124">
        <f t="shared" si="9"/>
        <v>1985</v>
      </c>
    </row>
    <row r="123" spans="1:19" ht="31.5">
      <c r="A123" s="76"/>
      <c r="B123" s="73"/>
      <c r="C123" s="68"/>
      <c r="D123" s="73"/>
      <c r="E123" s="76"/>
      <c r="F123" s="76"/>
      <c r="G123" s="51"/>
      <c r="H123" s="2" t="s">
        <v>1006</v>
      </c>
      <c r="I123" s="5">
        <v>668</v>
      </c>
      <c r="J123" s="11">
        <v>3</v>
      </c>
      <c r="K123" s="11">
        <v>10</v>
      </c>
      <c r="L123" s="57" t="s">
        <v>215</v>
      </c>
      <c r="M123" s="58" t="s">
        <v>217</v>
      </c>
      <c r="N123" s="58" t="s">
        <v>229</v>
      </c>
      <c r="O123" s="58" t="s">
        <v>261</v>
      </c>
      <c r="P123" s="7"/>
      <c r="Q123" s="124">
        <f>Q124</f>
        <v>2000</v>
      </c>
      <c r="R123" s="124">
        <f t="shared" si="9"/>
        <v>3176</v>
      </c>
      <c r="S123" s="124">
        <f t="shared" si="9"/>
        <v>1985</v>
      </c>
    </row>
    <row r="124" spans="1:19" ht="31.5">
      <c r="A124" s="76"/>
      <c r="B124" s="73"/>
      <c r="C124" s="68"/>
      <c r="D124" s="73"/>
      <c r="E124" s="76"/>
      <c r="F124" s="76"/>
      <c r="G124" s="51"/>
      <c r="H124" s="2" t="s">
        <v>881</v>
      </c>
      <c r="I124" s="5">
        <v>668</v>
      </c>
      <c r="J124" s="11">
        <v>3</v>
      </c>
      <c r="K124" s="11">
        <v>10</v>
      </c>
      <c r="L124" s="57" t="s">
        <v>215</v>
      </c>
      <c r="M124" s="58" t="s">
        <v>217</v>
      </c>
      <c r="N124" s="58" t="s">
        <v>236</v>
      </c>
      <c r="O124" s="58" t="s">
        <v>261</v>
      </c>
      <c r="P124" s="7"/>
      <c r="Q124" s="124">
        <f>Q125+Q127</f>
        <v>2000</v>
      </c>
      <c r="R124" s="124">
        <f>R125+R127</f>
        <v>3176</v>
      </c>
      <c r="S124" s="124">
        <f>S125+S127</f>
        <v>1985</v>
      </c>
    </row>
    <row r="125" spans="1:19" ht="18.75">
      <c r="A125" s="76"/>
      <c r="B125" s="73"/>
      <c r="C125" s="68"/>
      <c r="D125" s="73"/>
      <c r="E125" s="76"/>
      <c r="F125" s="76"/>
      <c r="G125" s="51"/>
      <c r="H125" s="2" t="s">
        <v>884</v>
      </c>
      <c r="I125" s="5">
        <v>668</v>
      </c>
      <c r="J125" s="11">
        <v>3</v>
      </c>
      <c r="K125" s="11">
        <v>10</v>
      </c>
      <c r="L125" s="57" t="s">
        <v>215</v>
      </c>
      <c r="M125" s="58" t="s">
        <v>217</v>
      </c>
      <c r="N125" s="58" t="s">
        <v>236</v>
      </c>
      <c r="O125" s="58" t="s">
        <v>890</v>
      </c>
      <c r="P125" s="7"/>
      <c r="Q125" s="124">
        <f t="shared" si="9"/>
        <v>2000</v>
      </c>
      <c r="R125" s="124">
        <f t="shared" si="9"/>
        <v>0</v>
      </c>
      <c r="S125" s="124">
        <f t="shared" si="9"/>
        <v>0</v>
      </c>
    </row>
    <row r="126" spans="1:19" ht="18.75">
      <c r="A126" s="76"/>
      <c r="B126" s="73"/>
      <c r="C126" s="68"/>
      <c r="D126" s="73"/>
      <c r="E126" s="76"/>
      <c r="F126" s="76"/>
      <c r="G126" s="51"/>
      <c r="H126" s="2" t="s">
        <v>299</v>
      </c>
      <c r="I126" s="5">
        <v>668</v>
      </c>
      <c r="J126" s="11">
        <v>3</v>
      </c>
      <c r="K126" s="11">
        <v>10</v>
      </c>
      <c r="L126" s="57" t="s">
        <v>215</v>
      </c>
      <c r="M126" s="58" t="s">
        <v>217</v>
      </c>
      <c r="N126" s="58" t="s">
        <v>236</v>
      </c>
      <c r="O126" s="58" t="s">
        <v>890</v>
      </c>
      <c r="P126" s="7">
        <v>240</v>
      </c>
      <c r="Q126" s="124">
        <v>2000</v>
      </c>
      <c r="R126" s="124">
        <v>0</v>
      </c>
      <c r="S126" s="124">
        <v>0</v>
      </c>
    </row>
    <row r="127" spans="1:19" ht="31.5">
      <c r="A127" s="76"/>
      <c r="B127" s="73"/>
      <c r="C127" s="68"/>
      <c r="D127" s="73"/>
      <c r="E127" s="76"/>
      <c r="F127" s="76"/>
      <c r="G127" s="51"/>
      <c r="H127" s="2" t="s">
        <v>1051</v>
      </c>
      <c r="I127" s="5">
        <v>668</v>
      </c>
      <c r="J127" s="11">
        <v>3</v>
      </c>
      <c r="K127" s="11">
        <v>10</v>
      </c>
      <c r="L127" s="57" t="s">
        <v>215</v>
      </c>
      <c r="M127" s="58" t="s">
        <v>217</v>
      </c>
      <c r="N127" s="58" t="s">
        <v>236</v>
      </c>
      <c r="O127" s="58" t="s">
        <v>1050</v>
      </c>
      <c r="P127" s="7"/>
      <c r="Q127" s="124">
        <f>Q128</f>
        <v>0</v>
      </c>
      <c r="R127" s="124">
        <f>R128</f>
        <v>3176</v>
      </c>
      <c r="S127" s="124">
        <f>S128</f>
        <v>1985</v>
      </c>
    </row>
    <row r="128" spans="1:19" ht="18.75">
      <c r="A128" s="76"/>
      <c r="B128" s="73"/>
      <c r="C128" s="68"/>
      <c r="D128" s="73"/>
      <c r="E128" s="76"/>
      <c r="F128" s="76"/>
      <c r="G128" s="51"/>
      <c r="H128" s="2" t="s">
        <v>299</v>
      </c>
      <c r="I128" s="5">
        <v>668</v>
      </c>
      <c r="J128" s="11">
        <v>3</v>
      </c>
      <c r="K128" s="11">
        <v>10</v>
      </c>
      <c r="L128" s="57" t="s">
        <v>215</v>
      </c>
      <c r="M128" s="58" t="s">
        <v>217</v>
      </c>
      <c r="N128" s="58" t="s">
        <v>236</v>
      </c>
      <c r="O128" s="58" t="s">
        <v>1050</v>
      </c>
      <c r="P128" s="7">
        <v>240</v>
      </c>
      <c r="Q128" s="124">
        <v>0</v>
      </c>
      <c r="R128" s="124">
        <f>1588+1588</f>
        <v>3176</v>
      </c>
      <c r="S128" s="124">
        <f>992.5+992.5</f>
        <v>1985</v>
      </c>
    </row>
    <row r="129" spans="1:19" s="113" customFormat="1" ht="19.5">
      <c r="A129" s="106"/>
      <c r="B129" s="128"/>
      <c r="C129" s="104"/>
      <c r="D129" s="128"/>
      <c r="E129" s="106"/>
      <c r="F129" s="106"/>
      <c r="G129" s="84"/>
      <c r="H129" s="227" t="s">
        <v>214</v>
      </c>
      <c r="I129" s="99">
        <v>668</v>
      </c>
      <c r="J129" s="86">
        <v>3</v>
      </c>
      <c r="K129" s="86">
        <v>14</v>
      </c>
      <c r="L129" s="87"/>
      <c r="M129" s="88"/>
      <c r="N129" s="88"/>
      <c r="O129" s="88"/>
      <c r="P129" s="85"/>
      <c r="Q129" s="123">
        <f>Q130</f>
        <v>140</v>
      </c>
      <c r="R129" s="123">
        <f>R130</f>
        <v>223.3</v>
      </c>
      <c r="S129" s="123">
        <f>S130</f>
        <v>223.3</v>
      </c>
    </row>
    <row r="130" spans="1:19" ht="31.5">
      <c r="A130" s="76"/>
      <c r="B130" s="73"/>
      <c r="C130" s="68"/>
      <c r="D130" s="73"/>
      <c r="E130" s="76"/>
      <c r="F130" s="76"/>
      <c r="G130" s="51"/>
      <c r="H130" s="2" t="s">
        <v>526</v>
      </c>
      <c r="I130" s="5">
        <v>668</v>
      </c>
      <c r="J130" s="11">
        <v>3</v>
      </c>
      <c r="K130" s="11">
        <v>14</v>
      </c>
      <c r="L130" s="57" t="s">
        <v>215</v>
      </c>
      <c r="M130" s="58" t="s">
        <v>220</v>
      </c>
      <c r="N130" s="58" t="s">
        <v>229</v>
      </c>
      <c r="O130" s="58" t="s">
        <v>261</v>
      </c>
      <c r="P130" s="7"/>
      <c r="Q130" s="124">
        <f>Q131+Q143+Q147</f>
        <v>140</v>
      </c>
      <c r="R130" s="124">
        <f>R131+R143+R147</f>
        <v>223.3</v>
      </c>
      <c r="S130" s="124">
        <f>S131+S143+S147</f>
        <v>223.3</v>
      </c>
    </row>
    <row r="131" spans="1:19" ht="18.75">
      <c r="A131" s="76"/>
      <c r="B131" s="73"/>
      <c r="C131" s="68"/>
      <c r="D131" s="73"/>
      <c r="E131" s="76"/>
      <c r="F131" s="76"/>
      <c r="G131" s="51"/>
      <c r="H131" s="2" t="s">
        <v>268</v>
      </c>
      <c r="I131" s="5">
        <v>668</v>
      </c>
      <c r="J131" s="11">
        <v>3</v>
      </c>
      <c r="K131" s="11">
        <v>14</v>
      </c>
      <c r="L131" s="57" t="s">
        <v>215</v>
      </c>
      <c r="M131" s="58" t="s">
        <v>222</v>
      </c>
      <c r="N131" s="58" t="s">
        <v>229</v>
      </c>
      <c r="O131" s="58" t="s">
        <v>261</v>
      </c>
      <c r="P131" s="7"/>
      <c r="Q131" s="124">
        <f>Q132+Q135+Q140</f>
        <v>120</v>
      </c>
      <c r="R131" s="124">
        <f>R132+R135+R140</f>
        <v>203.3</v>
      </c>
      <c r="S131" s="124">
        <f>S132+S135+S140</f>
        <v>203.3</v>
      </c>
    </row>
    <row r="132" spans="1:19" ht="31.5">
      <c r="A132" s="76"/>
      <c r="B132" s="73"/>
      <c r="C132" s="68"/>
      <c r="D132" s="73"/>
      <c r="E132" s="76"/>
      <c r="F132" s="76"/>
      <c r="G132" s="51"/>
      <c r="H132" s="2" t="s">
        <v>529</v>
      </c>
      <c r="I132" s="5">
        <v>668</v>
      </c>
      <c r="J132" s="11">
        <v>3</v>
      </c>
      <c r="K132" s="11">
        <v>14</v>
      </c>
      <c r="L132" s="57" t="s">
        <v>215</v>
      </c>
      <c r="M132" s="58" t="s">
        <v>222</v>
      </c>
      <c r="N132" s="58" t="s">
        <v>221</v>
      </c>
      <c r="O132" s="58" t="s">
        <v>261</v>
      </c>
      <c r="P132" s="7"/>
      <c r="Q132" s="124">
        <f aca="true" t="shared" si="10" ref="Q132:S133">Q133</f>
        <v>10</v>
      </c>
      <c r="R132" s="124">
        <f t="shared" si="10"/>
        <v>10</v>
      </c>
      <c r="S132" s="124">
        <f t="shared" si="10"/>
        <v>10</v>
      </c>
    </row>
    <row r="133" spans="1:19" ht="18.75">
      <c r="A133" s="76"/>
      <c r="B133" s="73"/>
      <c r="C133" s="68"/>
      <c r="D133" s="73"/>
      <c r="E133" s="76"/>
      <c r="F133" s="76"/>
      <c r="G133" s="51"/>
      <c r="H133" s="2" t="s">
        <v>530</v>
      </c>
      <c r="I133" s="5">
        <v>668</v>
      </c>
      <c r="J133" s="11">
        <v>3</v>
      </c>
      <c r="K133" s="11">
        <v>14</v>
      </c>
      <c r="L133" s="57" t="s">
        <v>215</v>
      </c>
      <c r="M133" s="58" t="s">
        <v>222</v>
      </c>
      <c r="N133" s="58" t="s">
        <v>221</v>
      </c>
      <c r="O133" s="58" t="s">
        <v>495</v>
      </c>
      <c r="P133" s="7"/>
      <c r="Q133" s="124">
        <f t="shared" si="10"/>
        <v>10</v>
      </c>
      <c r="R133" s="124">
        <f t="shared" si="10"/>
        <v>10</v>
      </c>
      <c r="S133" s="124">
        <f t="shared" si="10"/>
        <v>10</v>
      </c>
    </row>
    <row r="134" spans="1:19" ht="18.75">
      <c r="A134" s="76"/>
      <c r="B134" s="73"/>
      <c r="C134" s="68"/>
      <c r="D134" s="73"/>
      <c r="E134" s="76"/>
      <c r="F134" s="76"/>
      <c r="G134" s="51"/>
      <c r="H134" s="2" t="s">
        <v>299</v>
      </c>
      <c r="I134" s="5">
        <v>668</v>
      </c>
      <c r="J134" s="11">
        <v>3</v>
      </c>
      <c r="K134" s="11">
        <v>14</v>
      </c>
      <c r="L134" s="57" t="s">
        <v>215</v>
      </c>
      <c r="M134" s="58" t="s">
        <v>222</v>
      </c>
      <c r="N134" s="58" t="s">
        <v>221</v>
      </c>
      <c r="O134" s="58" t="s">
        <v>495</v>
      </c>
      <c r="P134" s="7">
        <v>240</v>
      </c>
      <c r="Q134" s="124">
        <v>10</v>
      </c>
      <c r="R134" s="126">
        <v>10</v>
      </c>
      <c r="S134" s="126">
        <v>10</v>
      </c>
    </row>
    <row r="135" spans="1:19" ht="31.5">
      <c r="A135" s="76"/>
      <c r="B135" s="73"/>
      <c r="C135" s="68"/>
      <c r="D135" s="73"/>
      <c r="E135" s="76"/>
      <c r="F135" s="76"/>
      <c r="G135" s="51"/>
      <c r="H135" s="2" t="s">
        <v>531</v>
      </c>
      <c r="I135" s="5">
        <v>668</v>
      </c>
      <c r="J135" s="11">
        <v>3</v>
      </c>
      <c r="K135" s="11">
        <v>14</v>
      </c>
      <c r="L135" s="57" t="s">
        <v>215</v>
      </c>
      <c r="M135" s="58" t="s">
        <v>222</v>
      </c>
      <c r="N135" s="58" t="s">
        <v>236</v>
      </c>
      <c r="O135" s="58" t="s">
        <v>261</v>
      </c>
      <c r="P135" s="7"/>
      <c r="Q135" s="124">
        <f>Q136+Q138</f>
        <v>105</v>
      </c>
      <c r="R135" s="124">
        <f>R136+R138</f>
        <v>188.3</v>
      </c>
      <c r="S135" s="124">
        <f>S136+S138</f>
        <v>188.3</v>
      </c>
    </row>
    <row r="136" spans="1:19" ht="18.75">
      <c r="A136" s="76"/>
      <c r="B136" s="73"/>
      <c r="C136" s="68"/>
      <c r="D136" s="73"/>
      <c r="E136" s="76"/>
      <c r="F136" s="76"/>
      <c r="G136" s="51"/>
      <c r="H136" s="2" t="s">
        <v>435</v>
      </c>
      <c r="I136" s="5">
        <v>668</v>
      </c>
      <c r="J136" s="11">
        <v>3</v>
      </c>
      <c r="K136" s="11">
        <v>14</v>
      </c>
      <c r="L136" s="57" t="s">
        <v>215</v>
      </c>
      <c r="M136" s="58" t="s">
        <v>222</v>
      </c>
      <c r="N136" s="58" t="s">
        <v>236</v>
      </c>
      <c r="O136" s="58" t="s">
        <v>434</v>
      </c>
      <c r="P136" s="7"/>
      <c r="Q136" s="124">
        <f>Q137</f>
        <v>15</v>
      </c>
      <c r="R136" s="124">
        <f>R137</f>
        <v>15</v>
      </c>
      <c r="S136" s="124">
        <f>S137</f>
        <v>15</v>
      </c>
    </row>
    <row r="137" spans="1:19" ht="18.75">
      <c r="A137" s="76"/>
      <c r="B137" s="73"/>
      <c r="C137" s="68"/>
      <c r="D137" s="73"/>
      <c r="E137" s="76"/>
      <c r="F137" s="76"/>
      <c r="G137" s="51"/>
      <c r="H137" s="2" t="s">
        <v>299</v>
      </c>
      <c r="I137" s="5">
        <v>668</v>
      </c>
      <c r="J137" s="11">
        <v>3</v>
      </c>
      <c r="K137" s="11">
        <v>14</v>
      </c>
      <c r="L137" s="57" t="s">
        <v>215</v>
      </c>
      <c r="M137" s="58" t="s">
        <v>222</v>
      </c>
      <c r="N137" s="58" t="s">
        <v>236</v>
      </c>
      <c r="O137" s="58" t="s">
        <v>434</v>
      </c>
      <c r="P137" s="7">
        <v>240</v>
      </c>
      <c r="Q137" s="124">
        <v>15</v>
      </c>
      <c r="R137" s="126">
        <v>15</v>
      </c>
      <c r="S137" s="126">
        <v>15</v>
      </c>
    </row>
    <row r="138" spans="1:19" ht="18.75">
      <c r="A138" s="76"/>
      <c r="B138" s="73"/>
      <c r="C138" s="68"/>
      <c r="D138" s="73"/>
      <c r="E138" s="76"/>
      <c r="F138" s="76"/>
      <c r="G138" s="51"/>
      <c r="H138" s="2" t="s">
        <v>297</v>
      </c>
      <c r="I138" s="5">
        <v>668</v>
      </c>
      <c r="J138" s="11">
        <v>3</v>
      </c>
      <c r="K138" s="11">
        <v>14</v>
      </c>
      <c r="L138" s="57" t="s">
        <v>215</v>
      </c>
      <c r="M138" s="58" t="s">
        <v>222</v>
      </c>
      <c r="N138" s="58" t="s">
        <v>236</v>
      </c>
      <c r="O138" s="58" t="s">
        <v>67</v>
      </c>
      <c r="P138" s="7"/>
      <c r="Q138" s="124">
        <f>Q139</f>
        <v>90</v>
      </c>
      <c r="R138" s="124">
        <f>R139</f>
        <v>173.3</v>
      </c>
      <c r="S138" s="124">
        <f>S139</f>
        <v>173.3</v>
      </c>
    </row>
    <row r="139" spans="1:19" ht="18.75">
      <c r="A139" s="76"/>
      <c r="B139" s="73"/>
      <c r="C139" s="68"/>
      <c r="D139" s="69"/>
      <c r="E139" s="66"/>
      <c r="F139" s="66"/>
      <c r="G139" s="51"/>
      <c r="H139" s="2" t="s">
        <v>299</v>
      </c>
      <c r="I139" s="5">
        <v>668</v>
      </c>
      <c r="J139" s="11">
        <v>3</v>
      </c>
      <c r="K139" s="11">
        <v>14</v>
      </c>
      <c r="L139" s="57" t="s">
        <v>215</v>
      </c>
      <c r="M139" s="58" t="s">
        <v>222</v>
      </c>
      <c r="N139" s="58" t="s">
        <v>236</v>
      </c>
      <c r="O139" s="58" t="s">
        <v>67</v>
      </c>
      <c r="P139" s="7">
        <v>240</v>
      </c>
      <c r="Q139" s="124">
        <f>238-148</f>
        <v>90</v>
      </c>
      <c r="R139" s="126">
        <v>173.3</v>
      </c>
      <c r="S139" s="126">
        <v>173.3</v>
      </c>
    </row>
    <row r="140" spans="1:19" ht="31.5">
      <c r="A140" s="72"/>
      <c r="B140" s="73"/>
      <c r="C140" s="68"/>
      <c r="D140" s="69"/>
      <c r="E140" s="66"/>
      <c r="F140" s="66"/>
      <c r="G140" s="51"/>
      <c r="H140" s="2" t="s">
        <v>532</v>
      </c>
      <c r="I140" s="5">
        <v>668</v>
      </c>
      <c r="J140" s="11">
        <v>3</v>
      </c>
      <c r="K140" s="11">
        <v>14</v>
      </c>
      <c r="L140" s="57" t="s">
        <v>215</v>
      </c>
      <c r="M140" s="58" t="s">
        <v>222</v>
      </c>
      <c r="N140" s="58" t="s">
        <v>237</v>
      </c>
      <c r="O140" s="58" t="s">
        <v>261</v>
      </c>
      <c r="P140" s="7"/>
      <c r="Q140" s="124">
        <f aca="true" t="shared" si="11" ref="Q140:S141">Q141</f>
        <v>5</v>
      </c>
      <c r="R140" s="124">
        <f t="shared" si="11"/>
        <v>5</v>
      </c>
      <c r="S140" s="124">
        <f t="shared" si="11"/>
        <v>5</v>
      </c>
    </row>
    <row r="141" spans="1:19" ht="18.75">
      <c r="A141" s="59"/>
      <c r="B141" s="60"/>
      <c r="C141" s="68"/>
      <c r="D141" s="73"/>
      <c r="E141" s="76"/>
      <c r="F141" s="76"/>
      <c r="G141" s="51"/>
      <c r="H141" s="2" t="s">
        <v>464</v>
      </c>
      <c r="I141" s="5">
        <v>668</v>
      </c>
      <c r="J141" s="11">
        <v>3</v>
      </c>
      <c r="K141" s="11">
        <v>14</v>
      </c>
      <c r="L141" s="57" t="s">
        <v>215</v>
      </c>
      <c r="M141" s="58" t="s">
        <v>222</v>
      </c>
      <c r="N141" s="58" t="s">
        <v>237</v>
      </c>
      <c r="O141" s="58" t="s">
        <v>434</v>
      </c>
      <c r="P141" s="7"/>
      <c r="Q141" s="124">
        <f t="shared" si="11"/>
        <v>5</v>
      </c>
      <c r="R141" s="124">
        <f t="shared" si="11"/>
        <v>5</v>
      </c>
      <c r="S141" s="124">
        <f t="shared" si="11"/>
        <v>5</v>
      </c>
    </row>
    <row r="142" spans="1:19" ht="18.75">
      <c r="A142" s="72"/>
      <c r="B142" s="73"/>
      <c r="C142" s="68"/>
      <c r="D142" s="69"/>
      <c r="E142" s="66"/>
      <c r="F142" s="66"/>
      <c r="G142" s="51"/>
      <c r="H142" s="2" t="s">
        <v>299</v>
      </c>
      <c r="I142" s="5">
        <v>668</v>
      </c>
      <c r="J142" s="11">
        <v>3</v>
      </c>
      <c r="K142" s="11">
        <v>14</v>
      </c>
      <c r="L142" s="57" t="s">
        <v>215</v>
      </c>
      <c r="M142" s="58" t="s">
        <v>222</v>
      </c>
      <c r="N142" s="58" t="s">
        <v>237</v>
      </c>
      <c r="O142" s="58" t="s">
        <v>434</v>
      </c>
      <c r="P142" s="7">
        <v>240</v>
      </c>
      <c r="Q142" s="124">
        <v>5</v>
      </c>
      <c r="R142" s="126">
        <v>5</v>
      </c>
      <c r="S142" s="126">
        <v>5</v>
      </c>
    </row>
    <row r="143" spans="1:19" ht="18.75" hidden="1">
      <c r="A143" s="59"/>
      <c r="B143" s="60"/>
      <c r="C143" s="68"/>
      <c r="D143" s="73"/>
      <c r="E143" s="76"/>
      <c r="F143" s="76"/>
      <c r="G143" s="51"/>
      <c r="H143" s="2" t="s">
        <v>391</v>
      </c>
      <c r="I143" s="5">
        <v>668</v>
      </c>
      <c r="J143" s="11">
        <v>3</v>
      </c>
      <c r="K143" s="11">
        <v>14</v>
      </c>
      <c r="L143" s="57" t="s">
        <v>215</v>
      </c>
      <c r="M143" s="58" t="s">
        <v>216</v>
      </c>
      <c r="N143" s="58" t="s">
        <v>229</v>
      </c>
      <c r="O143" s="58" t="s">
        <v>261</v>
      </c>
      <c r="P143" s="7"/>
      <c r="Q143" s="124">
        <f>Q144</f>
        <v>0</v>
      </c>
      <c r="R143" s="124">
        <f aca="true" t="shared" si="12" ref="R143:S145">R144</f>
        <v>0</v>
      </c>
      <c r="S143" s="124">
        <f t="shared" si="12"/>
        <v>0</v>
      </c>
    </row>
    <row r="144" spans="1:19" ht="31.5" hidden="1">
      <c r="A144" s="76"/>
      <c r="B144" s="73"/>
      <c r="C144" s="68"/>
      <c r="D144" s="69"/>
      <c r="E144" s="66"/>
      <c r="F144" s="66"/>
      <c r="G144" s="51"/>
      <c r="H144" s="2" t="s">
        <v>392</v>
      </c>
      <c r="I144" s="5">
        <v>668</v>
      </c>
      <c r="J144" s="11">
        <v>3</v>
      </c>
      <c r="K144" s="11">
        <v>14</v>
      </c>
      <c r="L144" s="57" t="s">
        <v>215</v>
      </c>
      <c r="M144" s="58" t="s">
        <v>216</v>
      </c>
      <c r="N144" s="58" t="s">
        <v>221</v>
      </c>
      <c r="O144" s="58" t="s">
        <v>261</v>
      </c>
      <c r="P144" s="7"/>
      <c r="Q144" s="124">
        <f>Q145</f>
        <v>0</v>
      </c>
      <c r="R144" s="124">
        <f t="shared" si="12"/>
        <v>0</v>
      </c>
      <c r="S144" s="124">
        <f t="shared" si="12"/>
        <v>0</v>
      </c>
    </row>
    <row r="145" spans="1:19" ht="47.25" hidden="1">
      <c r="A145" s="72"/>
      <c r="B145" s="73"/>
      <c r="C145" s="68"/>
      <c r="D145" s="69"/>
      <c r="E145" s="66"/>
      <c r="F145" s="66"/>
      <c r="G145" s="51"/>
      <c r="H145" s="2" t="s">
        <v>393</v>
      </c>
      <c r="I145" s="5">
        <v>668</v>
      </c>
      <c r="J145" s="11">
        <v>3</v>
      </c>
      <c r="K145" s="11">
        <v>14</v>
      </c>
      <c r="L145" s="57" t="s">
        <v>215</v>
      </c>
      <c r="M145" s="58" t="s">
        <v>216</v>
      </c>
      <c r="N145" s="58" t="s">
        <v>221</v>
      </c>
      <c r="O145" s="58" t="s">
        <v>341</v>
      </c>
      <c r="P145" s="7"/>
      <c r="Q145" s="124">
        <f>Q146</f>
        <v>0</v>
      </c>
      <c r="R145" s="124">
        <f t="shared" si="12"/>
        <v>0</v>
      </c>
      <c r="S145" s="124">
        <f t="shared" si="12"/>
        <v>0</v>
      </c>
    </row>
    <row r="146" spans="1:19" ht="18.75" hidden="1">
      <c r="A146" s="59"/>
      <c r="B146" s="60"/>
      <c r="C146" s="68"/>
      <c r="D146" s="73"/>
      <c r="E146" s="76"/>
      <c r="F146" s="76"/>
      <c r="G146" s="51"/>
      <c r="H146" s="2" t="s">
        <v>299</v>
      </c>
      <c r="I146" s="5">
        <v>668</v>
      </c>
      <c r="J146" s="11">
        <v>3</v>
      </c>
      <c r="K146" s="11">
        <v>14</v>
      </c>
      <c r="L146" s="57" t="s">
        <v>215</v>
      </c>
      <c r="M146" s="58" t="s">
        <v>216</v>
      </c>
      <c r="N146" s="58" t="s">
        <v>221</v>
      </c>
      <c r="O146" s="58" t="s">
        <v>341</v>
      </c>
      <c r="P146" s="7">
        <v>240</v>
      </c>
      <c r="Q146" s="124"/>
      <c r="R146" s="124"/>
      <c r="S146" s="124"/>
    </row>
    <row r="147" spans="1:19" ht="31.5">
      <c r="A147" s="72"/>
      <c r="B147" s="73"/>
      <c r="C147" s="68"/>
      <c r="D147" s="69"/>
      <c r="E147" s="66"/>
      <c r="F147" s="66"/>
      <c r="G147" s="51"/>
      <c r="H147" s="2" t="s">
        <v>390</v>
      </c>
      <c r="I147" s="5">
        <v>668</v>
      </c>
      <c r="J147" s="11">
        <v>3</v>
      </c>
      <c r="K147" s="11">
        <v>14</v>
      </c>
      <c r="L147" s="57" t="s">
        <v>215</v>
      </c>
      <c r="M147" s="58" t="s">
        <v>368</v>
      </c>
      <c r="N147" s="58" t="s">
        <v>229</v>
      </c>
      <c r="O147" s="58" t="s">
        <v>261</v>
      </c>
      <c r="P147" s="7"/>
      <c r="Q147" s="124">
        <f>Q148+Q151</f>
        <v>20</v>
      </c>
      <c r="R147" s="124">
        <f>R148+R151</f>
        <v>20</v>
      </c>
      <c r="S147" s="124">
        <f>S148+S151</f>
        <v>20</v>
      </c>
    </row>
    <row r="148" spans="1:19" ht="31.5">
      <c r="A148" s="59"/>
      <c r="B148" s="60"/>
      <c r="C148" s="68"/>
      <c r="D148" s="73"/>
      <c r="E148" s="76"/>
      <c r="F148" s="76"/>
      <c r="G148" s="51"/>
      <c r="H148" s="2" t="s">
        <v>389</v>
      </c>
      <c r="I148" s="5">
        <v>668</v>
      </c>
      <c r="J148" s="11">
        <v>3</v>
      </c>
      <c r="K148" s="11">
        <v>14</v>
      </c>
      <c r="L148" s="57" t="s">
        <v>215</v>
      </c>
      <c r="M148" s="58" t="s">
        <v>368</v>
      </c>
      <c r="N148" s="58" t="s">
        <v>221</v>
      </c>
      <c r="O148" s="58" t="s">
        <v>261</v>
      </c>
      <c r="P148" s="7"/>
      <c r="Q148" s="124">
        <f aca="true" t="shared" si="13" ref="Q148:S149">Q149</f>
        <v>10</v>
      </c>
      <c r="R148" s="124">
        <f t="shared" si="13"/>
        <v>10</v>
      </c>
      <c r="S148" s="124">
        <f t="shared" si="13"/>
        <v>10</v>
      </c>
    </row>
    <row r="149" spans="1:19" ht="18.75">
      <c r="A149" s="76"/>
      <c r="B149" s="73"/>
      <c r="C149" s="68"/>
      <c r="D149" s="69"/>
      <c r="E149" s="66"/>
      <c r="F149" s="66"/>
      <c r="G149" s="51"/>
      <c r="H149" s="2" t="s">
        <v>388</v>
      </c>
      <c r="I149" s="5">
        <v>668</v>
      </c>
      <c r="J149" s="11">
        <v>3</v>
      </c>
      <c r="K149" s="11">
        <v>14</v>
      </c>
      <c r="L149" s="57" t="s">
        <v>215</v>
      </c>
      <c r="M149" s="58" t="s">
        <v>368</v>
      </c>
      <c r="N149" s="58" t="s">
        <v>221</v>
      </c>
      <c r="O149" s="58" t="s">
        <v>434</v>
      </c>
      <c r="P149" s="7"/>
      <c r="Q149" s="124">
        <f t="shared" si="13"/>
        <v>10</v>
      </c>
      <c r="R149" s="124">
        <f t="shared" si="13"/>
        <v>10</v>
      </c>
      <c r="S149" s="124">
        <f t="shared" si="13"/>
        <v>10</v>
      </c>
    </row>
    <row r="150" spans="1:19" ht="18.75">
      <c r="A150" s="72"/>
      <c r="B150" s="73"/>
      <c r="C150" s="68"/>
      <c r="D150" s="69"/>
      <c r="E150" s="66"/>
      <c r="F150" s="66"/>
      <c r="G150" s="51"/>
      <c r="H150" s="2" t="s">
        <v>299</v>
      </c>
      <c r="I150" s="5">
        <v>668</v>
      </c>
      <c r="J150" s="11">
        <v>3</v>
      </c>
      <c r="K150" s="11">
        <v>14</v>
      </c>
      <c r="L150" s="57" t="s">
        <v>215</v>
      </c>
      <c r="M150" s="58" t="s">
        <v>368</v>
      </c>
      <c r="N150" s="58" t="s">
        <v>221</v>
      </c>
      <c r="O150" s="58" t="s">
        <v>434</v>
      </c>
      <c r="P150" s="7">
        <v>240</v>
      </c>
      <c r="Q150" s="124">
        <v>10</v>
      </c>
      <c r="R150" s="126">
        <v>10</v>
      </c>
      <c r="S150" s="126">
        <v>10</v>
      </c>
    </row>
    <row r="151" spans="1:19" ht="31.5">
      <c r="A151" s="59"/>
      <c r="B151" s="60"/>
      <c r="C151" s="68"/>
      <c r="D151" s="73"/>
      <c r="E151" s="76"/>
      <c r="F151" s="76"/>
      <c r="G151" s="51"/>
      <c r="H151" s="2" t="s">
        <v>533</v>
      </c>
      <c r="I151" s="5">
        <v>668</v>
      </c>
      <c r="J151" s="11">
        <v>3</v>
      </c>
      <c r="K151" s="11">
        <v>14</v>
      </c>
      <c r="L151" s="57" t="s">
        <v>215</v>
      </c>
      <c r="M151" s="58" t="s">
        <v>368</v>
      </c>
      <c r="N151" s="58" t="s">
        <v>232</v>
      </c>
      <c r="O151" s="58" t="s">
        <v>261</v>
      </c>
      <c r="P151" s="7"/>
      <c r="Q151" s="124">
        <f aca="true" t="shared" si="14" ref="Q151:S152">Q152</f>
        <v>10</v>
      </c>
      <c r="R151" s="124">
        <f t="shared" si="14"/>
        <v>10</v>
      </c>
      <c r="S151" s="124">
        <f t="shared" si="14"/>
        <v>10</v>
      </c>
    </row>
    <row r="152" spans="1:19" ht="18.75">
      <c r="A152" s="72"/>
      <c r="B152" s="73"/>
      <c r="C152" s="68"/>
      <c r="D152" s="69"/>
      <c r="E152" s="66"/>
      <c r="F152" s="66"/>
      <c r="G152" s="51"/>
      <c r="H152" s="2" t="s">
        <v>534</v>
      </c>
      <c r="I152" s="5">
        <v>668</v>
      </c>
      <c r="J152" s="11">
        <v>3</v>
      </c>
      <c r="K152" s="11">
        <v>14</v>
      </c>
      <c r="L152" s="57" t="s">
        <v>215</v>
      </c>
      <c r="M152" s="58" t="s">
        <v>368</v>
      </c>
      <c r="N152" s="58" t="s">
        <v>232</v>
      </c>
      <c r="O152" s="58" t="s">
        <v>434</v>
      </c>
      <c r="P152" s="7"/>
      <c r="Q152" s="124">
        <f t="shared" si="14"/>
        <v>10</v>
      </c>
      <c r="R152" s="124">
        <f t="shared" si="14"/>
        <v>10</v>
      </c>
      <c r="S152" s="124">
        <f t="shared" si="14"/>
        <v>10</v>
      </c>
    </row>
    <row r="153" spans="1:19" ht="18.75">
      <c r="A153" s="59"/>
      <c r="B153" s="60"/>
      <c r="C153" s="68"/>
      <c r="D153" s="73"/>
      <c r="E153" s="76"/>
      <c r="F153" s="76"/>
      <c r="G153" s="51"/>
      <c r="H153" s="2" t="s">
        <v>299</v>
      </c>
      <c r="I153" s="5">
        <v>668</v>
      </c>
      <c r="J153" s="11">
        <v>3</v>
      </c>
      <c r="K153" s="11">
        <v>14</v>
      </c>
      <c r="L153" s="57" t="s">
        <v>215</v>
      </c>
      <c r="M153" s="58" t="s">
        <v>368</v>
      </c>
      <c r="N153" s="58" t="s">
        <v>232</v>
      </c>
      <c r="O153" s="58" t="s">
        <v>434</v>
      </c>
      <c r="P153" s="7">
        <v>240</v>
      </c>
      <c r="Q153" s="124">
        <v>10</v>
      </c>
      <c r="R153" s="124">
        <v>10</v>
      </c>
      <c r="S153" s="124">
        <v>10</v>
      </c>
    </row>
    <row r="154" spans="1:19" s="113" customFormat="1" ht="19.5">
      <c r="A154" s="106"/>
      <c r="B154" s="128"/>
      <c r="C154" s="104"/>
      <c r="D154" s="128"/>
      <c r="E154" s="106"/>
      <c r="F154" s="106"/>
      <c r="G154" s="84"/>
      <c r="H154" s="227" t="s">
        <v>242</v>
      </c>
      <c r="I154" s="99">
        <v>668</v>
      </c>
      <c r="J154" s="86">
        <v>4</v>
      </c>
      <c r="K154" s="86" t="s">
        <v>262</v>
      </c>
      <c r="L154" s="87"/>
      <c r="M154" s="88"/>
      <c r="N154" s="88"/>
      <c r="O154" s="88"/>
      <c r="P154" s="85"/>
      <c r="Q154" s="123">
        <f>Q155+Q162+Q187</f>
        <v>49748.6</v>
      </c>
      <c r="R154" s="123">
        <f>R155+R162+R187</f>
        <v>24563</v>
      </c>
      <c r="S154" s="123">
        <f>S155+S162+S187</f>
        <v>25958.899999999998</v>
      </c>
    </row>
    <row r="155" spans="1:19" s="113" customFormat="1" ht="19.5">
      <c r="A155" s="106"/>
      <c r="B155" s="128"/>
      <c r="C155" s="104"/>
      <c r="D155" s="128"/>
      <c r="E155" s="106"/>
      <c r="F155" s="106"/>
      <c r="G155" s="84"/>
      <c r="H155" s="96" t="s">
        <v>68</v>
      </c>
      <c r="I155" s="99">
        <v>668</v>
      </c>
      <c r="J155" s="86">
        <v>4</v>
      </c>
      <c r="K155" s="86">
        <v>8</v>
      </c>
      <c r="L155" s="87"/>
      <c r="M155" s="88"/>
      <c r="N155" s="88"/>
      <c r="O155" s="88"/>
      <c r="P155" s="85"/>
      <c r="Q155" s="123">
        <f>Q156</f>
        <v>8202.3</v>
      </c>
      <c r="R155" s="123">
        <f aca="true" t="shared" si="15" ref="R155:S160">R156</f>
        <v>3626.7</v>
      </c>
      <c r="S155" s="123">
        <f t="shared" si="15"/>
        <v>3626.7</v>
      </c>
    </row>
    <row r="156" spans="1:19" ht="31.5">
      <c r="A156" s="76"/>
      <c r="B156" s="73"/>
      <c r="C156" s="68"/>
      <c r="D156" s="73"/>
      <c r="E156" s="76"/>
      <c r="F156" s="76"/>
      <c r="G156" s="51"/>
      <c r="H156" s="2" t="s">
        <v>522</v>
      </c>
      <c r="I156" s="5">
        <v>668</v>
      </c>
      <c r="J156" s="11">
        <v>4</v>
      </c>
      <c r="K156" s="11">
        <v>8</v>
      </c>
      <c r="L156" s="57" t="s">
        <v>494</v>
      </c>
      <c r="M156" s="58" t="s">
        <v>220</v>
      </c>
      <c r="N156" s="58" t="s">
        <v>229</v>
      </c>
      <c r="O156" s="58" t="s">
        <v>261</v>
      </c>
      <c r="P156" s="7"/>
      <c r="Q156" s="124">
        <f>Q157</f>
        <v>8202.3</v>
      </c>
      <c r="R156" s="124">
        <f t="shared" si="15"/>
        <v>3626.7</v>
      </c>
      <c r="S156" s="124">
        <f t="shared" si="15"/>
        <v>3626.7</v>
      </c>
    </row>
    <row r="157" spans="1:19" ht="31.5">
      <c r="A157" s="76"/>
      <c r="B157" s="73"/>
      <c r="C157" s="68"/>
      <c r="D157" s="73"/>
      <c r="E157" s="76"/>
      <c r="F157" s="76"/>
      <c r="G157" s="51"/>
      <c r="H157" s="2" t="s">
        <v>524</v>
      </c>
      <c r="I157" s="5">
        <v>668</v>
      </c>
      <c r="J157" s="11">
        <v>4</v>
      </c>
      <c r="K157" s="11">
        <v>8</v>
      </c>
      <c r="L157" s="57" t="s">
        <v>494</v>
      </c>
      <c r="M157" s="58" t="s">
        <v>220</v>
      </c>
      <c r="N157" s="58" t="s">
        <v>223</v>
      </c>
      <c r="O157" s="58" t="s">
        <v>261</v>
      </c>
      <c r="P157" s="7"/>
      <c r="Q157" s="124">
        <f>Q160+Q158</f>
        <v>8202.3</v>
      </c>
      <c r="R157" s="124">
        <f>R160+R158</f>
        <v>3626.7</v>
      </c>
      <c r="S157" s="124">
        <f>S160+S158</f>
        <v>3626.7</v>
      </c>
    </row>
    <row r="158" spans="1:19" ht="31.5">
      <c r="A158" s="76"/>
      <c r="B158" s="73"/>
      <c r="C158" s="68"/>
      <c r="D158" s="73"/>
      <c r="E158" s="76"/>
      <c r="F158" s="76"/>
      <c r="G158" s="51"/>
      <c r="H158" s="2" t="s">
        <v>1010</v>
      </c>
      <c r="I158" s="5">
        <v>668</v>
      </c>
      <c r="J158" s="11">
        <v>4</v>
      </c>
      <c r="K158" s="11">
        <v>8</v>
      </c>
      <c r="L158" s="57" t="s">
        <v>494</v>
      </c>
      <c r="M158" s="58" t="s">
        <v>220</v>
      </c>
      <c r="N158" s="58" t="s">
        <v>223</v>
      </c>
      <c r="O158" s="58" t="s">
        <v>1009</v>
      </c>
      <c r="P158" s="7"/>
      <c r="Q158" s="124">
        <f>Q159</f>
        <v>3572</v>
      </c>
      <c r="R158" s="124">
        <f>R159</f>
        <v>0</v>
      </c>
      <c r="S158" s="124">
        <f>S159</f>
        <v>0</v>
      </c>
    </row>
    <row r="159" spans="1:19" ht="18.75">
      <c r="A159" s="76"/>
      <c r="B159" s="73"/>
      <c r="C159" s="68"/>
      <c r="D159" s="73"/>
      <c r="E159" s="76"/>
      <c r="F159" s="76"/>
      <c r="G159" s="51"/>
      <c r="H159" s="2" t="s">
        <v>299</v>
      </c>
      <c r="I159" s="5">
        <v>668</v>
      </c>
      <c r="J159" s="11">
        <v>4</v>
      </c>
      <c r="K159" s="11">
        <v>8</v>
      </c>
      <c r="L159" s="57" t="s">
        <v>494</v>
      </c>
      <c r="M159" s="58" t="s">
        <v>220</v>
      </c>
      <c r="N159" s="58" t="s">
        <v>223</v>
      </c>
      <c r="O159" s="58" t="s">
        <v>1009</v>
      </c>
      <c r="P159" s="7">
        <v>244</v>
      </c>
      <c r="Q159" s="124">
        <v>3572</v>
      </c>
      <c r="R159" s="124">
        <v>0</v>
      </c>
      <c r="S159" s="124">
        <v>0</v>
      </c>
    </row>
    <row r="160" spans="1:19" ht="31.5">
      <c r="A160" s="76"/>
      <c r="B160" s="73"/>
      <c r="C160" s="68"/>
      <c r="D160" s="73"/>
      <c r="E160" s="76"/>
      <c r="F160" s="76"/>
      <c r="G160" s="51"/>
      <c r="H160" s="2" t="s">
        <v>451</v>
      </c>
      <c r="I160" s="5">
        <v>668</v>
      </c>
      <c r="J160" s="11">
        <v>4</v>
      </c>
      <c r="K160" s="11">
        <v>8</v>
      </c>
      <c r="L160" s="57" t="s">
        <v>494</v>
      </c>
      <c r="M160" s="58" t="s">
        <v>220</v>
      </c>
      <c r="N160" s="58" t="s">
        <v>223</v>
      </c>
      <c r="O160" s="58" t="s">
        <v>450</v>
      </c>
      <c r="P160" s="7"/>
      <c r="Q160" s="124">
        <f>Q161</f>
        <v>4630.3</v>
      </c>
      <c r="R160" s="124">
        <f t="shared" si="15"/>
        <v>3626.7</v>
      </c>
      <c r="S160" s="124">
        <f t="shared" si="15"/>
        <v>3626.7</v>
      </c>
    </row>
    <row r="161" spans="1:19" ht="18.75">
      <c r="A161" s="76"/>
      <c r="B161" s="73"/>
      <c r="C161" s="68"/>
      <c r="D161" s="73"/>
      <c r="E161" s="76"/>
      <c r="F161" s="76"/>
      <c r="G161" s="51"/>
      <c r="H161" s="2" t="s">
        <v>299</v>
      </c>
      <c r="I161" s="5">
        <v>668</v>
      </c>
      <c r="J161" s="11">
        <v>4</v>
      </c>
      <c r="K161" s="11">
        <v>8</v>
      </c>
      <c r="L161" s="57" t="s">
        <v>494</v>
      </c>
      <c r="M161" s="58" t="s">
        <v>220</v>
      </c>
      <c r="N161" s="58" t="s">
        <v>223</v>
      </c>
      <c r="O161" s="58" t="s">
        <v>450</v>
      </c>
      <c r="P161" s="7">
        <v>240</v>
      </c>
      <c r="Q161" s="124">
        <f>3626.7-16.9+990.4+30.1</f>
        <v>4630.3</v>
      </c>
      <c r="R161" s="126">
        <v>3626.7</v>
      </c>
      <c r="S161" s="126">
        <v>3626.7</v>
      </c>
    </row>
    <row r="162" spans="1:19" s="113" customFormat="1" ht="19.5">
      <c r="A162" s="106"/>
      <c r="B162" s="128"/>
      <c r="C162" s="104"/>
      <c r="D162" s="128"/>
      <c r="E162" s="106"/>
      <c r="F162" s="106"/>
      <c r="G162" s="84"/>
      <c r="H162" s="227" t="s">
        <v>58</v>
      </c>
      <c r="I162" s="99">
        <v>668</v>
      </c>
      <c r="J162" s="86">
        <v>4</v>
      </c>
      <c r="K162" s="86">
        <v>9</v>
      </c>
      <c r="L162" s="87"/>
      <c r="M162" s="88"/>
      <c r="N162" s="88"/>
      <c r="O162" s="88"/>
      <c r="P162" s="85"/>
      <c r="Q162" s="123">
        <f>Q163</f>
        <v>28198.3</v>
      </c>
      <c r="R162" s="123">
        <f>R163</f>
        <v>10703.3</v>
      </c>
      <c r="S162" s="123">
        <f>S163</f>
        <v>11571.3</v>
      </c>
    </row>
    <row r="163" spans="1:19" ht="31.5">
      <c r="A163" s="76"/>
      <c r="B163" s="73"/>
      <c r="C163" s="68"/>
      <c r="D163" s="73"/>
      <c r="E163" s="76"/>
      <c r="F163" s="76"/>
      <c r="G163" s="51"/>
      <c r="H163" s="2" t="s">
        <v>535</v>
      </c>
      <c r="I163" s="5">
        <v>668</v>
      </c>
      <c r="J163" s="11">
        <v>4</v>
      </c>
      <c r="K163" s="11">
        <v>9</v>
      </c>
      <c r="L163" s="57" t="s">
        <v>218</v>
      </c>
      <c r="M163" s="58" t="s">
        <v>220</v>
      </c>
      <c r="N163" s="58" t="s">
        <v>229</v>
      </c>
      <c r="O163" s="58" t="s">
        <v>261</v>
      </c>
      <c r="P163" s="7"/>
      <c r="Q163" s="124">
        <f>Q164+Q172+Q175+Q178+Q181+Q184+Q169</f>
        <v>28198.3</v>
      </c>
      <c r="R163" s="124">
        <f>R164+R172+R175+R178+R181+R184+R169</f>
        <v>10703.3</v>
      </c>
      <c r="S163" s="124">
        <f>S164+S172+S175+S178+S181+S184+S169</f>
        <v>11571.3</v>
      </c>
    </row>
    <row r="164" spans="1:19" ht="18.75" hidden="1">
      <c r="A164" s="76"/>
      <c r="B164" s="73"/>
      <c r="C164" s="68"/>
      <c r="D164" s="73"/>
      <c r="E164" s="76"/>
      <c r="F164" s="76"/>
      <c r="G164" s="51"/>
      <c r="H164" s="2" t="s">
        <v>274</v>
      </c>
      <c r="I164" s="5">
        <v>668</v>
      </c>
      <c r="J164" s="11">
        <v>4</v>
      </c>
      <c r="K164" s="11">
        <v>9</v>
      </c>
      <c r="L164" s="57" t="s">
        <v>218</v>
      </c>
      <c r="M164" s="58" t="s">
        <v>220</v>
      </c>
      <c r="N164" s="58" t="s">
        <v>221</v>
      </c>
      <c r="O164" s="58" t="s">
        <v>261</v>
      </c>
      <c r="P164" s="7"/>
      <c r="Q164" s="124">
        <f>Q165+Q167</f>
        <v>0</v>
      </c>
      <c r="R164" s="124">
        <f aca="true" t="shared" si="16" ref="Q164:S165">R165</f>
        <v>0</v>
      </c>
      <c r="S164" s="124">
        <f t="shared" si="16"/>
        <v>0</v>
      </c>
    </row>
    <row r="165" spans="1:19" ht="18.75" hidden="1">
      <c r="A165" s="76"/>
      <c r="B165" s="73"/>
      <c r="C165" s="68"/>
      <c r="D165" s="73"/>
      <c r="E165" s="76"/>
      <c r="F165" s="76"/>
      <c r="G165" s="51"/>
      <c r="H165" s="2" t="s">
        <v>536</v>
      </c>
      <c r="I165" s="5">
        <v>668</v>
      </c>
      <c r="J165" s="11">
        <v>4</v>
      </c>
      <c r="K165" s="11">
        <v>9</v>
      </c>
      <c r="L165" s="57" t="s">
        <v>218</v>
      </c>
      <c r="M165" s="58" t="s">
        <v>220</v>
      </c>
      <c r="N165" s="58" t="s">
        <v>221</v>
      </c>
      <c r="O165" s="58" t="s">
        <v>496</v>
      </c>
      <c r="P165" s="7"/>
      <c r="Q165" s="124">
        <f t="shared" si="16"/>
        <v>0</v>
      </c>
      <c r="R165" s="124">
        <f t="shared" si="16"/>
        <v>0</v>
      </c>
      <c r="S165" s="124">
        <f t="shared" si="16"/>
        <v>0</v>
      </c>
    </row>
    <row r="166" spans="1:19" ht="18.75" hidden="1">
      <c r="A166" s="76"/>
      <c r="B166" s="73"/>
      <c r="C166" s="68"/>
      <c r="D166" s="73"/>
      <c r="E166" s="76"/>
      <c r="F166" s="76"/>
      <c r="G166" s="51"/>
      <c r="H166" s="2" t="s">
        <v>299</v>
      </c>
      <c r="I166" s="5">
        <v>668</v>
      </c>
      <c r="J166" s="11">
        <v>4</v>
      </c>
      <c r="K166" s="11">
        <v>9</v>
      </c>
      <c r="L166" s="57" t="s">
        <v>218</v>
      </c>
      <c r="M166" s="58" t="s">
        <v>220</v>
      </c>
      <c r="N166" s="58" t="s">
        <v>221</v>
      </c>
      <c r="O166" s="58" t="s">
        <v>496</v>
      </c>
      <c r="P166" s="7">
        <v>240</v>
      </c>
      <c r="Q166" s="124"/>
      <c r="R166" s="126"/>
      <c r="S166" s="126"/>
    </row>
    <row r="167" spans="1:19" ht="31.5" hidden="1">
      <c r="A167" s="76"/>
      <c r="B167" s="73"/>
      <c r="C167" s="68"/>
      <c r="D167" s="73"/>
      <c r="E167" s="76"/>
      <c r="F167" s="76"/>
      <c r="G167" s="51"/>
      <c r="H167" s="2" t="s">
        <v>313</v>
      </c>
      <c r="I167" s="5">
        <v>668</v>
      </c>
      <c r="J167" s="11">
        <v>4</v>
      </c>
      <c r="K167" s="11">
        <v>9</v>
      </c>
      <c r="L167" s="57" t="s">
        <v>218</v>
      </c>
      <c r="M167" s="58" t="s">
        <v>220</v>
      </c>
      <c r="N167" s="58" t="s">
        <v>221</v>
      </c>
      <c r="O167" s="58" t="s">
        <v>831</v>
      </c>
      <c r="P167" s="7"/>
      <c r="Q167" s="124">
        <f>Q168</f>
        <v>0</v>
      </c>
      <c r="R167" s="126">
        <f>R168</f>
        <v>0</v>
      </c>
      <c r="S167" s="126">
        <f>S168</f>
        <v>0</v>
      </c>
    </row>
    <row r="168" spans="1:19" ht="18.75" hidden="1">
      <c r="A168" s="76"/>
      <c r="B168" s="73"/>
      <c r="C168" s="68"/>
      <c r="D168" s="73"/>
      <c r="E168" s="76"/>
      <c r="F168" s="76"/>
      <c r="G168" s="51"/>
      <c r="H168" s="2" t="s">
        <v>299</v>
      </c>
      <c r="I168" s="5">
        <v>668</v>
      </c>
      <c r="J168" s="11">
        <v>4</v>
      </c>
      <c r="K168" s="11">
        <v>9</v>
      </c>
      <c r="L168" s="57" t="s">
        <v>218</v>
      </c>
      <c r="M168" s="58" t="s">
        <v>220</v>
      </c>
      <c r="N168" s="58" t="s">
        <v>221</v>
      </c>
      <c r="O168" s="58" t="s">
        <v>831</v>
      </c>
      <c r="P168" s="7">
        <v>240</v>
      </c>
      <c r="Q168" s="124"/>
      <c r="R168" s="126"/>
      <c r="S168" s="126"/>
    </row>
    <row r="169" spans="1:19" ht="31.5">
      <c r="A169" s="76"/>
      <c r="B169" s="73"/>
      <c r="C169" s="68"/>
      <c r="D169" s="73"/>
      <c r="E169" s="76"/>
      <c r="F169" s="76"/>
      <c r="G169" s="51"/>
      <c r="H169" s="2" t="s">
        <v>1106</v>
      </c>
      <c r="I169" s="5">
        <v>668</v>
      </c>
      <c r="J169" s="11">
        <v>4</v>
      </c>
      <c r="K169" s="11">
        <v>9</v>
      </c>
      <c r="L169" s="57" t="s">
        <v>218</v>
      </c>
      <c r="M169" s="58" t="s">
        <v>220</v>
      </c>
      <c r="N169" s="58" t="s">
        <v>236</v>
      </c>
      <c r="O169" s="58" t="s">
        <v>261</v>
      </c>
      <c r="P169" s="7"/>
      <c r="Q169" s="124">
        <f aca="true" t="shared" si="17" ref="Q169:S170">Q170</f>
        <v>100</v>
      </c>
      <c r="R169" s="124">
        <f t="shared" si="17"/>
        <v>0</v>
      </c>
      <c r="S169" s="124">
        <f t="shared" si="17"/>
        <v>0</v>
      </c>
    </row>
    <row r="170" spans="1:19" ht="18.75">
      <c r="A170" s="76"/>
      <c r="B170" s="73"/>
      <c r="C170" s="68"/>
      <c r="D170" s="73"/>
      <c r="E170" s="76"/>
      <c r="F170" s="76"/>
      <c r="G170" s="51"/>
      <c r="H170" s="2" t="s">
        <v>320</v>
      </c>
      <c r="I170" s="5">
        <v>668</v>
      </c>
      <c r="J170" s="11">
        <v>4</v>
      </c>
      <c r="K170" s="11">
        <v>9</v>
      </c>
      <c r="L170" s="57" t="s">
        <v>218</v>
      </c>
      <c r="M170" s="58" t="s">
        <v>220</v>
      </c>
      <c r="N170" s="58" t="s">
        <v>236</v>
      </c>
      <c r="O170" s="58" t="s">
        <v>496</v>
      </c>
      <c r="P170" s="7"/>
      <c r="Q170" s="124">
        <f t="shared" si="17"/>
        <v>100</v>
      </c>
      <c r="R170" s="124">
        <f t="shared" si="17"/>
        <v>0</v>
      </c>
      <c r="S170" s="124">
        <f t="shared" si="17"/>
        <v>0</v>
      </c>
    </row>
    <row r="171" spans="1:19" ht="18.75">
      <c r="A171" s="76"/>
      <c r="B171" s="73"/>
      <c r="C171" s="68"/>
      <c r="D171" s="73"/>
      <c r="E171" s="76"/>
      <c r="F171" s="76"/>
      <c r="G171" s="51"/>
      <c r="H171" s="2" t="s">
        <v>299</v>
      </c>
      <c r="I171" s="5">
        <v>668</v>
      </c>
      <c r="J171" s="11">
        <v>4</v>
      </c>
      <c r="K171" s="11">
        <v>9</v>
      </c>
      <c r="L171" s="57" t="s">
        <v>218</v>
      </c>
      <c r="M171" s="58" t="s">
        <v>220</v>
      </c>
      <c r="N171" s="58" t="s">
        <v>236</v>
      </c>
      <c r="O171" s="58" t="s">
        <v>496</v>
      </c>
      <c r="P171" s="7">
        <v>240</v>
      </c>
      <c r="Q171" s="124">
        <v>100</v>
      </c>
      <c r="R171" s="126">
        <v>0</v>
      </c>
      <c r="S171" s="126">
        <v>0</v>
      </c>
    </row>
    <row r="172" spans="1:19" ht="18.75">
      <c r="A172" s="76"/>
      <c r="B172" s="73"/>
      <c r="C172" s="68"/>
      <c r="D172" s="73"/>
      <c r="E172" s="76"/>
      <c r="F172" s="76"/>
      <c r="G172" s="51"/>
      <c r="H172" s="2" t="s">
        <v>333</v>
      </c>
      <c r="I172" s="5">
        <v>668</v>
      </c>
      <c r="J172" s="11">
        <v>4</v>
      </c>
      <c r="K172" s="11">
        <v>9</v>
      </c>
      <c r="L172" s="57" t="s">
        <v>218</v>
      </c>
      <c r="M172" s="58" t="s">
        <v>220</v>
      </c>
      <c r="N172" s="58" t="s">
        <v>237</v>
      </c>
      <c r="O172" s="58" t="s">
        <v>261</v>
      </c>
      <c r="P172" s="7"/>
      <c r="Q172" s="124">
        <f aca="true" t="shared" si="18" ref="Q172:S173">Q173</f>
        <v>9791.599999999999</v>
      </c>
      <c r="R172" s="124">
        <f t="shared" si="18"/>
        <v>10403.3</v>
      </c>
      <c r="S172" s="124">
        <f t="shared" si="18"/>
        <v>11271.3</v>
      </c>
    </row>
    <row r="173" spans="1:19" ht="18.75">
      <c r="A173" s="76"/>
      <c r="B173" s="73"/>
      <c r="C173" s="68"/>
      <c r="D173" s="73"/>
      <c r="E173" s="76"/>
      <c r="F173" s="76"/>
      <c r="G173" s="51"/>
      <c r="H173" s="2" t="s">
        <v>320</v>
      </c>
      <c r="I173" s="5">
        <v>668</v>
      </c>
      <c r="J173" s="11">
        <v>4</v>
      </c>
      <c r="K173" s="11">
        <v>9</v>
      </c>
      <c r="L173" s="57" t="s">
        <v>218</v>
      </c>
      <c r="M173" s="58" t="s">
        <v>220</v>
      </c>
      <c r="N173" s="58" t="s">
        <v>237</v>
      </c>
      <c r="O173" s="58" t="s">
        <v>496</v>
      </c>
      <c r="P173" s="7"/>
      <c r="Q173" s="124">
        <f t="shared" si="18"/>
        <v>9791.599999999999</v>
      </c>
      <c r="R173" s="124">
        <f t="shared" si="18"/>
        <v>10403.3</v>
      </c>
      <c r="S173" s="124">
        <f t="shared" si="18"/>
        <v>11271.3</v>
      </c>
    </row>
    <row r="174" spans="1:19" ht="18.75">
      <c r="A174" s="76"/>
      <c r="B174" s="73"/>
      <c r="C174" s="68"/>
      <c r="D174" s="73"/>
      <c r="E174" s="76"/>
      <c r="F174" s="76"/>
      <c r="G174" s="51"/>
      <c r="H174" s="2" t="s">
        <v>299</v>
      </c>
      <c r="I174" s="5">
        <v>668</v>
      </c>
      <c r="J174" s="11">
        <v>4</v>
      </c>
      <c r="K174" s="11">
        <v>9</v>
      </c>
      <c r="L174" s="57" t="s">
        <v>218</v>
      </c>
      <c r="M174" s="58" t="s">
        <v>220</v>
      </c>
      <c r="N174" s="58" t="s">
        <v>237</v>
      </c>
      <c r="O174" s="58" t="s">
        <v>496</v>
      </c>
      <c r="P174" s="7">
        <v>240</v>
      </c>
      <c r="Q174" s="124">
        <f>9924.3-96.7-36</f>
        <v>9791.599999999999</v>
      </c>
      <c r="R174" s="126">
        <v>10403.3</v>
      </c>
      <c r="S174" s="126">
        <v>11271.3</v>
      </c>
    </row>
    <row r="175" spans="1:19" ht="31.5" hidden="1">
      <c r="A175" s="76"/>
      <c r="B175" s="73"/>
      <c r="C175" s="68"/>
      <c r="D175" s="73"/>
      <c r="E175" s="76"/>
      <c r="F175" s="76"/>
      <c r="G175" s="51"/>
      <c r="H175" s="2" t="s">
        <v>465</v>
      </c>
      <c r="I175" s="5">
        <v>668</v>
      </c>
      <c r="J175" s="11">
        <v>4</v>
      </c>
      <c r="K175" s="11">
        <v>9</v>
      </c>
      <c r="L175" s="57" t="s">
        <v>218</v>
      </c>
      <c r="M175" s="58" t="s">
        <v>220</v>
      </c>
      <c r="N175" s="58" t="s">
        <v>232</v>
      </c>
      <c r="O175" s="58" t="s">
        <v>261</v>
      </c>
      <c r="P175" s="7"/>
      <c r="Q175" s="124">
        <f aca="true" t="shared" si="19" ref="Q175:S176">Q176</f>
        <v>0</v>
      </c>
      <c r="R175" s="124">
        <f t="shared" si="19"/>
        <v>0</v>
      </c>
      <c r="S175" s="124">
        <f t="shared" si="19"/>
        <v>0</v>
      </c>
    </row>
    <row r="176" spans="1:19" ht="31.5" hidden="1">
      <c r="A176" s="76"/>
      <c r="B176" s="73"/>
      <c r="C176" s="68"/>
      <c r="D176" s="73"/>
      <c r="E176" s="76"/>
      <c r="F176" s="76"/>
      <c r="G176" s="51"/>
      <c r="H176" s="2" t="s">
        <v>16</v>
      </c>
      <c r="I176" s="5">
        <v>668</v>
      </c>
      <c r="J176" s="11">
        <v>4</v>
      </c>
      <c r="K176" s="11">
        <v>9</v>
      </c>
      <c r="L176" s="57" t="s">
        <v>218</v>
      </c>
      <c r="M176" s="58" t="s">
        <v>220</v>
      </c>
      <c r="N176" s="58" t="s">
        <v>232</v>
      </c>
      <c r="O176" s="58" t="s">
        <v>497</v>
      </c>
      <c r="P176" s="7"/>
      <c r="Q176" s="124">
        <f t="shared" si="19"/>
        <v>0</v>
      </c>
      <c r="R176" s="124">
        <f t="shared" si="19"/>
        <v>0</v>
      </c>
      <c r="S176" s="124">
        <f t="shared" si="19"/>
        <v>0</v>
      </c>
    </row>
    <row r="177" spans="1:19" ht="18.75" hidden="1">
      <c r="A177" s="76"/>
      <c r="B177" s="73"/>
      <c r="C177" s="68"/>
      <c r="D177" s="73"/>
      <c r="E177" s="76"/>
      <c r="F177" s="76"/>
      <c r="G177" s="51"/>
      <c r="H177" s="2" t="s">
        <v>299</v>
      </c>
      <c r="I177" s="5">
        <v>668</v>
      </c>
      <c r="J177" s="11">
        <v>4</v>
      </c>
      <c r="K177" s="11">
        <v>9</v>
      </c>
      <c r="L177" s="57" t="s">
        <v>218</v>
      </c>
      <c r="M177" s="58" t="s">
        <v>220</v>
      </c>
      <c r="N177" s="58" t="s">
        <v>232</v>
      </c>
      <c r="O177" s="58" t="s">
        <v>497</v>
      </c>
      <c r="P177" s="7">
        <v>240</v>
      </c>
      <c r="Q177" s="124"/>
      <c r="R177" s="126"/>
      <c r="S177" s="126"/>
    </row>
    <row r="178" spans="1:19" ht="47.25">
      <c r="A178" s="76"/>
      <c r="B178" s="73"/>
      <c r="C178" s="68"/>
      <c r="D178" s="73"/>
      <c r="E178" s="76"/>
      <c r="F178" s="76"/>
      <c r="G178" s="51"/>
      <c r="H178" s="2" t="s">
        <v>466</v>
      </c>
      <c r="I178" s="5">
        <v>668</v>
      </c>
      <c r="J178" s="11">
        <v>4</v>
      </c>
      <c r="K178" s="11">
        <v>9</v>
      </c>
      <c r="L178" s="57" t="s">
        <v>218</v>
      </c>
      <c r="M178" s="58" t="s">
        <v>220</v>
      </c>
      <c r="N178" s="58" t="s">
        <v>223</v>
      </c>
      <c r="O178" s="58" t="s">
        <v>261</v>
      </c>
      <c r="P178" s="7"/>
      <c r="Q178" s="124">
        <f aca="true" t="shared" si="20" ref="Q178:S182">Q179</f>
        <v>10</v>
      </c>
      <c r="R178" s="124">
        <f t="shared" si="20"/>
        <v>0</v>
      </c>
      <c r="S178" s="124">
        <f t="shared" si="20"/>
        <v>0</v>
      </c>
    </row>
    <row r="179" spans="1:19" ht="18.75">
      <c r="A179" s="76"/>
      <c r="B179" s="73"/>
      <c r="C179" s="68"/>
      <c r="D179" s="73"/>
      <c r="E179" s="76"/>
      <c r="F179" s="76"/>
      <c r="G179" s="51"/>
      <c r="H179" s="2" t="s">
        <v>320</v>
      </c>
      <c r="I179" s="5">
        <v>668</v>
      </c>
      <c r="J179" s="11">
        <v>4</v>
      </c>
      <c r="K179" s="11">
        <v>9</v>
      </c>
      <c r="L179" s="57" t="s">
        <v>218</v>
      </c>
      <c r="M179" s="58" t="s">
        <v>220</v>
      </c>
      <c r="N179" s="58" t="s">
        <v>223</v>
      </c>
      <c r="O179" s="58" t="s">
        <v>496</v>
      </c>
      <c r="P179" s="7"/>
      <c r="Q179" s="124">
        <f t="shared" si="20"/>
        <v>10</v>
      </c>
      <c r="R179" s="124">
        <f t="shared" si="20"/>
        <v>0</v>
      </c>
      <c r="S179" s="124">
        <f t="shared" si="20"/>
        <v>0</v>
      </c>
    </row>
    <row r="180" spans="1:19" ht="18.75">
      <c r="A180" s="76"/>
      <c r="B180" s="73"/>
      <c r="C180" s="68"/>
      <c r="D180" s="73"/>
      <c r="E180" s="76"/>
      <c r="F180" s="76"/>
      <c r="G180" s="51"/>
      <c r="H180" s="2" t="s">
        <v>299</v>
      </c>
      <c r="I180" s="5">
        <v>668</v>
      </c>
      <c r="J180" s="11">
        <v>4</v>
      </c>
      <c r="K180" s="11">
        <v>9</v>
      </c>
      <c r="L180" s="57" t="s">
        <v>218</v>
      </c>
      <c r="M180" s="58" t="s">
        <v>220</v>
      </c>
      <c r="N180" s="58" t="s">
        <v>223</v>
      </c>
      <c r="O180" s="58" t="s">
        <v>496</v>
      </c>
      <c r="P180" s="7">
        <v>240</v>
      </c>
      <c r="Q180" s="124">
        <v>10</v>
      </c>
      <c r="R180" s="126">
        <v>0</v>
      </c>
      <c r="S180" s="126">
        <v>0</v>
      </c>
    </row>
    <row r="181" spans="1:19" ht="18.75">
      <c r="A181" s="76"/>
      <c r="B181" s="73"/>
      <c r="C181" s="68"/>
      <c r="D181" s="73"/>
      <c r="E181" s="76"/>
      <c r="F181" s="76"/>
      <c r="G181" s="51"/>
      <c r="H181" s="2" t="s">
        <v>988</v>
      </c>
      <c r="I181" s="5">
        <v>668</v>
      </c>
      <c r="J181" s="11">
        <v>4</v>
      </c>
      <c r="K181" s="11">
        <v>9</v>
      </c>
      <c r="L181" s="57" t="s">
        <v>218</v>
      </c>
      <c r="M181" s="58" t="s">
        <v>220</v>
      </c>
      <c r="N181" s="58" t="s">
        <v>239</v>
      </c>
      <c r="O181" s="58" t="s">
        <v>261</v>
      </c>
      <c r="P181" s="7"/>
      <c r="Q181" s="124">
        <f t="shared" si="20"/>
        <v>200</v>
      </c>
      <c r="R181" s="124">
        <f t="shared" si="20"/>
        <v>300</v>
      </c>
      <c r="S181" s="124">
        <f t="shared" si="20"/>
        <v>300</v>
      </c>
    </row>
    <row r="182" spans="1:19" ht="18.75">
      <c r="A182" s="76"/>
      <c r="B182" s="73"/>
      <c r="C182" s="68"/>
      <c r="D182" s="73"/>
      <c r="E182" s="76"/>
      <c r="F182" s="76"/>
      <c r="G182" s="51"/>
      <c r="H182" s="2" t="s">
        <v>320</v>
      </c>
      <c r="I182" s="5">
        <v>668</v>
      </c>
      <c r="J182" s="11">
        <v>4</v>
      </c>
      <c r="K182" s="11">
        <v>9</v>
      </c>
      <c r="L182" s="57" t="s">
        <v>218</v>
      </c>
      <c r="M182" s="58" t="s">
        <v>220</v>
      </c>
      <c r="N182" s="58" t="s">
        <v>239</v>
      </c>
      <c r="O182" s="58" t="s">
        <v>496</v>
      </c>
      <c r="P182" s="7"/>
      <c r="Q182" s="124">
        <f t="shared" si="20"/>
        <v>200</v>
      </c>
      <c r="R182" s="124">
        <f t="shared" si="20"/>
        <v>300</v>
      </c>
      <c r="S182" s="124">
        <f t="shared" si="20"/>
        <v>300</v>
      </c>
    </row>
    <row r="183" spans="1:19" ht="18.75">
      <c r="A183" s="76"/>
      <c r="B183" s="73"/>
      <c r="C183" s="68"/>
      <c r="D183" s="73"/>
      <c r="E183" s="76"/>
      <c r="F183" s="76"/>
      <c r="G183" s="51"/>
      <c r="H183" s="2" t="s">
        <v>299</v>
      </c>
      <c r="I183" s="5">
        <v>668</v>
      </c>
      <c r="J183" s="11">
        <v>4</v>
      </c>
      <c r="K183" s="11">
        <v>9</v>
      </c>
      <c r="L183" s="57" t="s">
        <v>218</v>
      </c>
      <c r="M183" s="58" t="s">
        <v>220</v>
      </c>
      <c r="N183" s="58" t="s">
        <v>239</v>
      </c>
      <c r="O183" s="58" t="s">
        <v>496</v>
      </c>
      <c r="P183" s="7">
        <v>240</v>
      </c>
      <c r="Q183" s="124">
        <f>300-100</f>
        <v>200</v>
      </c>
      <c r="R183" s="126">
        <v>300</v>
      </c>
      <c r="S183" s="126">
        <v>300</v>
      </c>
    </row>
    <row r="184" spans="1:19" ht="18.75">
      <c r="A184" s="76"/>
      <c r="B184" s="73"/>
      <c r="C184" s="68"/>
      <c r="D184" s="73"/>
      <c r="E184" s="76"/>
      <c r="F184" s="76"/>
      <c r="G184" s="51"/>
      <c r="H184" s="2" t="s">
        <v>1013</v>
      </c>
      <c r="I184" s="5">
        <v>668</v>
      </c>
      <c r="J184" s="11">
        <v>4</v>
      </c>
      <c r="K184" s="11">
        <v>9</v>
      </c>
      <c r="L184" s="57" t="s">
        <v>218</v>
      </c>
      <c r="M184" s="58" t="s">
        <v>220</v>
      </c>
      <c r="N184" s="58" t="s">
        <v>225</v>
      </c>
      <c r="O184" s="58" t="s">
        <v>261</v>
      </c>
      <c r="P184" s="7"/>
      <c r="Q184" s="124">
        <f aca="true" t="shared" si="21" ref="Q184:S185">Q185</f>
        <v>18096.7</v>
      </c>
      <c r="R184" s="124">
        <f t="shared" si="21"/>
        <v>0</v>
      </c>
      <c r="S184" s="124">
        <f t="shared" si="21"/>
        <v>0</v>
      </c>
    </row>
    <row r="185" spans="1:19" ht="18.75">
      <c r="A185" s="76"/>
      <c r="B185" s="73"/>
      <c r="C185" s="68"/>
      <c r="D185" s="73"/>
      <c r="E185" s="76"/>
      <c r="F185" s="76"/>
      <c r="G185" s="51"/>
      <c r="H185" s="2" t="s">
        <v>1014</v>
      </c>
      <c r="I185" s="5">
        <v>668</v>
      </c>
      <c r="J185" s="11">
        <v>4</v>
      </c>
      <c r="K185" s="11">
        <v>9</v>
      </c>
      <c r="L185" s="57" t="s">
        <v>218</v>
      </c>
      <c r="M185" s="58" t="s">
        <v>220</v>
      </c>
      <c r="N185" s="58" t="s">
        <v>225</v>
      </c>
      <c r="O185" s="58" t="s">
        <v>1012</v>
      </c>
      <c r="P185" s="7"/>
      <c r="Q185" s="124">
        <f t="shared" si="21"/>
        <v>18096.7</v>
      </c>
      <c r="R185" s="124">
        <f t="shared" si="21"/>
        <v>0</v>
      </c>
      <c r="S185" s="124">
        <f t="shared" si="21"/>
        <v>0</v>
      </c>
    </row>
    <row r="186" spans="1:19" ht="18.75">
      <c r="A186" s="76"/>
      <c r="B186" s="73"/>
      <c r="C186" s="68"/>
      <c r="D186" s="73"/>
      <c r="E186" s="76"/>
      <c r="F186" s="76"/>
      <c r="G186" s="51"/>
      <c r="H186" s="2" t="s">
        <v>299</v>
      </c>
      <c r="I186" s="5">
        <v>668</v>
      </c>
      <c r="J186" s="11">
        <v>4</v>
      </c>
      <c r="K186" s="11">
        <v>9</v>
      </c>
      <c r="L186" s="57" t="s">
        <v>218</v>
      </c>
      <c r="M186" s="58" t="s">
        <v>220</v>
      </c>
      <c r="N186" s="58" t="s">
        <v>225</v>
      </c>
      <c r="O186" s="58" t="s">
        <v>1012</v>
      </c>
      <c r="P186" s="7">
        <v>240</v>
      </c>
      <c r="Q186" s="124">
        <f>18000+96.7</f>
        <v>18096.7</v>
      </c>
      <c r="R186" s="126">
        <v>0</v>
      </c>
      <c r="S186" s="126">
        <v>0</v>
      </c>
    </row>
    <row r="187" spans="1:19" s="113" customFormat="1" ht="19.5">
      <c r="A187" s="106"/>
      <c r="B187" s="128"/>
      <c r="C187" s="104"/>
      <c r="D187" s="128"/>
      <c r="E187" s="106"/>
      <c r="F187" s="106"/>
      <c r="G187" s="84"/>
      <c r="H187" s="225" t="s">
        <v>210</v>
      </c>
      <c r="I187" s="99">
        <v>668</v>
      </c>
      <c r="J187" s="86">
        <v>4</v>
      </c>
      <c r="K187" s="86">
        <v>12</v>
      </c>
      <c r="L187" s="87"/>
      <c r="M187" s="88"/>
      <c r="N187" s="88"/>
      <c r="O187" s="88"/>
      <c r="P187" s="85"/>
      <c r="Q187" s="123">
        <f>Q188+Q211</f>
        <v>13348</v>
      </c>
      <c r="R187" s="123">
        <f>R188+R211</f>
        <v>10233</v>
      </c>
      <c r="S187" s="123">
        <f>S188+S211</f>
        <v>10760.899999999998</v>
      </c>
    </row>
    <row r="188" spans="1:19" ht="31.5">
      <c r="A188" s="76"/>
      <c r="B188" s="73"/>
      <c r="C188" s="68"/>
      <c r="D188" s="73"/>
      <c r="E188" s="76"/>
      <c r="F188" s="76"/>
      <c r="G188" s="51"/>
      <c r="H188" s="2" t="s">
        <v>537</v>
      </c>
      <c r="I188" s="5">
        <v>668</v>
      </c>
      <c r="J188" s="11">
        <v>4</v>
      </c>
      <c r="K188" s="11">
        <v>12</v>
      </c>
      <c r="L188" s="57" t="s">
        <v>223</v>
      </c>
      <c r="M188" s="58" t="s">
        <v>220</v>
      </c>
      <c r="N188" s="58" t="s">
        <v>229</v>
      </c>
      <c r="O188" s="58" t="s">
        <v>261</v>
      </c>
      <c r="P188" s="7"/>
      <c r="Q188" s="124">
        <f>Q189+Q194+Q197+Q200+Q203+Q208</f>
        <v>9271.5</v>
      </c>
      <c r="R188" s="124">
        <f>R189+R194+R197+R200+R203+R208</f>
        <v>8725.2</v>
      </c>
      <c r="S188" s="124">
        <f>S189+S194+S197+S200+S203+S208</f>
        <v>9253.099999999999</v>
      </c>
    </row>
    <row r="189" spans="1:19" ht="31.5">
      <c r="A189" s="76"/>
      <c r="B189" s="73"/>
      <c r="C189" s="68"/>
      <c r="D189" s="73"/>
      <c r="E189" s="76"/>
      <c r="F189" s="76"/>
      <c r="G189" s="51"/>
      <c r="H189" s="2" t="s">
        <v>538</v>
      </c>
      <c r="I189" s="5">
        <v>668</v>
      </c>
      <c r="J189" s="11">
        <v>4</v>
      </c>
      <c r="K189" s="11">
        <v>12</v>
      </c>
      <c r="L189" s="57" t="s">
        <v>223</v>
      </c>
      <c r="M189" s="58" t="s">
        <v>220</v>
      </c>
      <c r="N189" s="58" t="s">
        <v>221</v>
      </c>
      <c r="O189" s="58" t="s">
        <v>261</v>
      </c>
      <c r="P189" s="7"/>
      <c r="Q189" s="124">
        <f>Q190+Q192</f>
        <v>1372.6</v>
      </c>
      <c r="R189" s="124">
        <f>R190+R192</f>
        <v>200</v>
      </c>
      <c r="S189" s="124">
        <f>S190+S192</f>
        <v>200</v>
      </c>
    </row>
    <row r="190" spans="1:19" ht="18.75">
      <c r="A190" s="76"/>
      <c r="B190" s="73"/>
      <c r="C190" s="68"/>
      <c r="D190" s="73"/>
      <c r="E190" s="76"/>
      <c r="F190" s="76"/>
      <c r="G190" s="51"/>
      <c r="H190" s="2" t="s">
        <v>8</v>
      </c>
      <c r="I190" s="5">
        <v>668</v>
      </c>
      <c r="J190" s="11">
        <v>4</v>
      </c>
      <c r="K190" s="11">
        <v>12</v>
      </c>
      <c r="L190" s="57" t="s">
        <v>223</v>
      </c>
      <c r="M190" s="58" t="s">
        <v>220</v>
      </c>
      <c r="N190" s="58" t="s">
        <v>221</v>
      </c>
      <c r="O190" s="58" t="s">
        <v>9</v>
      </c>
      <c r="P190" s="7"/>
      <c r="Q190" s="124">
        <f>Q191</f>
        <v>320</v>
      </c>
      <c r="R190" s="124">
        <f>R191</f>
        <v>200</v>
      </c>
      <c r="S190" s="124">
        <f>S191</f>
        <v>200</v>
      </c>
    </row>
    <row r="191" spans="1:19" ht="18.75">
      <c r="A191" s="76"/>
      <c r="B191" s="73"/>
      <c r="C191" s="68"/>
      <c r="D191" s="73"/>
      <c r="E191" s="76"/>
      <c r="F191" s="76"/>
      <c r="G191" s="51"/>
      <c r="H191" s="2" t="s">
        <v>301</v>
      </c>
      <c r="I191" s="5">
        <v>668</v>
      </c>
      <c r="J191" s="11">
        <v>4</v>
      </c>
      <c r="K191" s="11">
        <v>12</v>
      </c>
      <c r="L191" s="57" t="s">
        <v>223</v>
      </c>
      <c r="M191" s="58" t="s">
        <v>220</v>
      </c>
      <c r="N191" s="58" t="s">
        <v>221</v>
      </c>
      <c r="O191" s="58" t="s">
        <v>9</v>
      </c>
      <c r="P191" s="7">
        <v>610</v>
      </c>
      <c r="Q191" s="124">
        <f>200+120</f>
        <v>320</v>
      </c>
      <c r="R191" s="126">
        <v>200</v>
      </c>
      <c r="S191" s="126">
        <v>200</v>
      </c>
    </row>
    <row r="192" spans="1:19" ht="31.5">
      <c r="A192" s="76"/>
      <c r="B192" s="73"/>
      <c r="C192" s="68"/>
      <c r="D192" s="73"/>
      <c r="E192" s="76"/>
      <c r="F192" s="76"/>
      <c r="G192" s="51"/>
      <c r="H192" s="2" t="s">
        <v>553</v>
      </c>
      <c r="I192" s="5">
        <v>668</v>
      </c>
      <c r="J192" s="11">
        <v>4</v>
      </c>
      <c r="K192" s="11">
        <v>12</v>
      </c>
      <c r="L192" s="57" t="s">
        <v>223</v>
      </c>
      <c r="M192" s="58" t="s">
        <v>220</v>
      </c>
      <c r="N192" s="58" t="s">
        <v>221</v>
      </c>
      <c r="O192" s="58" t="s">
        <v>499</v>
      </c>
      <c r="P192" s="7"/>
      <c r="Q192" s="124">
        <f>Q193</f>
        <v>1052.6</v>
      </c>
      <c r="R192" s="124">
        <f>R193</f>
        <v>0</v>
      </c>
      <c r="S192" s="124">
        <f>S193</f>
        <v>0</v>
      </c>
    </row>
    <row r="193" spans="1:19" ht="18.75">
      <c r="A193" s="76"/>
      <c r="B193" s="73"/>
      <c r="C193" s="68"/>
      <c r="D193" s="73"/>
      <c r="E193" s="76"/>
      <c r="F193" s="76"/>
      <c r="G193" s="51"/>
      <c r="H193" s="2" t="s">
        <v>301</v>
      </c>
      <c r="I193" s="5">
        <v>668</v>
      </c>
      <c r="J193" s="11">
        <v>4</v>
      </c>
      <c r="K193" s="11">
        <v>12</v>
      </c>
      <c r="L193" s="57" t="s">
        <v>223</v>
      </c>
      <c r="M193" s="58" t="s">
        <v>220</v>
      </c>
      <c r="N193" s="58" t="s">
        <v>221</v>
      </c>
      <c r="O193" s="58" t="s">
        <v>499</v>
      </c>
      <c r="P193" s="7">
        <v>610</v>
      </c>
      <c r="Q193" s="124">
        <f>1000+52.6</f>
        <v>1052.6</v>
      </c>
      <c r="R193" s="126">
        <v>0</v>
      </c>
      <c r="S193" s="126">
        <v>0</v>
      </c>
    </row>
    <row r="194" spans="1:19" ht="18.75">
      <c r="A194" s="76"/>
      <c r="B194" s="73"/>
      <c r="C194" s="68"/>
      <c r="D194" s="73"/>
      <c r="E194" s="76"/>
      <c r="F194" s="76"/>
      <c r="G194" s="51"/>
      <c r="H194" s="2" t="s">
        <v>413</v>
      </c>
      <c r="I194" s="5">
        <v>668</v>
      </c>
      <c r="J194" s="11">
        <v>4</v>
      </c>
      <c r="K194" s="11">
        <v>12</v>
      </c>
      <c r="L194" s="57" t="s">
        <v>223</v>
      </c>
      <c r="M194" s="58" t="s">
        <v>220</v>
      </c>
      <c r="N194" s="58" t="s">
        <v>236</v>
      </c>
      <c r="O194" s="58" t="s">
        <v>261</v>
      </c>
      <c r="P194" s="7"/>
      <c r="Q194" s="124">
        <f aca="true" t="shared" si="22" ref="Q194:S195">Q195</f>
        <v>89.5</v>
      </c>
      <c r="R194" s="124">
        <f t="shared" si="22"/>
        <v>0</v>
      </c>
      <c r="S194" s="124">
        <f t="shared" si="22"/>
        <v>0</v>
      </c>
    </row>
    <row r="195" spans="1:19" ht="18.75">
      <c r="A195" s="76"/>
      <c r="B195" s="73"/>
      <c r="C195" s="68"/>
      <c r="D195" s="73"/>
      <c r="E195" s="76"/>
      <c r="F195" s="76"/>
      <c r="G195" s="51"/>
      <c r="H195" s="2" t="s">
        <v>8</v>
      </c>
      <c r="I195" s="5">
        <v>668</v>
      </c>
      <c r="J195" s="11">
        <v>4</v>
      </c>
      <c r="K195" s="11">
        <v>12</v>
      </c>
      <c r="L195" s="57" t="s">
        <v>223</v>
      </c>
      <c r="M195" s="58" t="s">
        <v>220</v>
      </c>
      <c r="N195" s="58" t="s">
        <v>236</v>
      </c>
      <c r="O195" s="58" t="s">
        <v>9</v>
      </c>
      <c r="P195" s="7"/>
      <c r="Q195" s="124">
        <f t="shared" si="22"/>
        <v>89.5</v>
      </c>
      <c r="R195" s="124">
        <f t="shared" si="22"/>
        <v>0</v>
      </c>
      <c r="S195" s="124">
        <f t="shared" si="22"/>
        <v>0</v>
      </c>
    </row>
    <row r="196" spans="1:19" ht="18.75">
      <c r="A196" s="76"/>
      <c r="B196" s="73"/>
      <c r="C196" s="68"/>
      <c r="D196" s="73"/>
      <c r="E196" s="76"/>
      <c r="F196" s="76"/>
      <c r="G196" s="51"/>
      <c r="H196" s="2" t="s">
        <v>301</v>
      </c>
      <c r="I196" s="5">
        <v>668</v>
      </c>
      <c r="J196" s="11">
        <v>4</v>
      </c>
      <c r="K196" s="11">
        <v>12</v>
      </c>
      <c r="L196" s="57" t="s">
        <v>223</v>
      </c>
      <c r="M196" s="58" t="s">
        <v>220</v>
      </c>
      <c r="N196" s="58" t="s">
        <v>236</v>
      </c>
      <c r="O196" s="58" t="s">
        <v>9</v>
      </c>
      <c r="P196" s="7">
        <v>610</v>
      </c>
      <c r="Q196" s="124">
        <v>89.5</v>
      </c>
      <c r="R196" s="126">
        <v>0</v>
      </c>
      <c r="S196" s="126">
        <v>0</v>
      </c>
    </row>
    <row r="197" spans="1:19" ht="18.75" hidden="1">
      <c r="A197" s="76"/>
      <c r="B197" s="73"/>
      <c r="C197" s="68"/>
      <c r="D197" s="73"/>
      <c r="E197" s="76"/>
      <c r="F197" s="76"/>
      <c r="G197" s="51"/>
      <c r="H197" s="2" t="s">
        <v>455</v>
      </c>
      <c r="I197" s="5">
        <v>668</v>
      </c>
      <c r="J197" s="11">
        <v>4</v>
      </c>
      <c r="K197" s="11">
        <v>12</v>
      </c>
      <c r="L197" s="57" t="s">
        <v>223</v>
      </c>
      <c r="M197" s="58" t="s">
        <v>220</v>
      </c>
      <c r="N197" s="58" t="s">
        <v>237</v>
      </c>
      <c r="O197" s="58" t="s">
        <v>261</v>
      </c>
      <c r="P197" s="7"/>
      <c r="Q197" s="124">
        <f aca="true" t="shared" si="23" ref="Q197:S198">Q198</f>
        <v>0</v>
      </c>
      <c r="R197" s="124">
        <f t="shared" si="23"/>
        <v>0</v>
      </c>
      <c r="S197" s="124">
        <f t="shared" si="23"/>
        <v>0</v>
      </c>
    </row>
    <row r="198" spans="1:19" ht="18.75" hidden="1">
      <c r="A198" s="76"/>
      <c r="B198" s="73"/>
      <c r="C198" s="68"/>
      <c r="D198" s="73"/>
      <c r="E198" s="76"/>
      <c r="F198" s="76"/>
      <c r="G198" s="51"/>
      <c r="H198" s="2" t="s">
        <v>8</v>
      </c>
      <c r="I198" s="5">
        <v>668</v>
      </c>
      <c r="J198" s="11">
        <v>4</v>
      </c>
      <c r="K198" s="11">
        <v>12</v>
      </c>
      <c r="L198" s="57" t="s">
        <v>223</v>
      </c>
      <c r="M198" s="58" t="s">
        <v>220</v>
      </c>
      <c r="N198" s="58" t="s">
        <v>237</v>
      </c>
      <c r="O198" s="58" t="s">
        <v>9</v>
      </c>
      <c r="P198" s="7"/>
      <c r="Q198" s="124">
        <f t="shared" si="23"/>
        <v>0</v>
      </c>
      <c r="R198" s="124">
        <f t="shared" si="23"/>
        <v>0</v>
      </c>
      <c r="S198" s="124">
        <f t="shared" si="23"/>
        <v>0</v>
      </c>
    </row>
    <row r="199" spans="1:19" ht="18.75" hidden="1">
      <c r="A199" s="76"/>
      <c r="B199" s="73"/>
      <c r="C199" s="68"/>
      <c r="D199" s="73"/>
      <c r="E199" s="76"/>
      <c r="F199" s="76"/>
      <c r="G199" s="51"/>
      <c r="H199" s="2" t="s">
        <v>301</v>
      </c>
      <c r="I199" s="5">
        <v>668</v>
      </c>
      <c r="J199" s="11">
        <v>4</v>
      </c>
      <c r="K199" s="11">
        <v>12</v>
      </c>
      <c r="L199" s="57" t="s">
        <v>223</v>
      </c>
      <c r="M199" s="58" t="s">
        <v>220</v>
      </c>
      <c r="N199" s="58" t="s">
        <v>237</v>
      </c>
      <c r="O199" s="58" t="s">
        <v>9</v>
      </c>
      <c r="P199" s="7">
        <v>610</v>
      </c>
      <c r="Q199" s="124"/>
      <c r="R199" s="126"/>
      <c r="S199" s="126"/>
    </row>
    <row r="200" spans="1:19" ht="31.5" hidden="1">
      <c r="A200" s="76"/>
      <c r="B200" s="73"/>
      <c r="C200" s="68"/>
      <c r="D200" s="73"/>
      <c r="E200" s="76"/>
      <c r="F200" s="76"/>
      <c r="G200" s="51"/>
      <c r="H200" s="2" t="s">
        <v>456</v>
      </c>
      <c r="I200" s="5">
        <v>668</v>
      </c>
      <c r="J200" s="11">
        <v>4</v>
      </c>
      <c r="K200" s="11">
        <v>12</v>
      </c>
      <c r="L200" s="57" t="s">
        <v>223</v>
      </c>
      <c r="M200" s="58" t="s">
        <v>220</v>
      </c>
      <c r="N200" s="58" t="s">
        <v>232</v>
      </c>
      <c r="O200" s="58" t="s">
        <v>261</v>
      </c>
      <c r="P200" s="7"/>
      <c r="Q200" s="124">
        <f aca="true" t="shared" si="24" ref="Q200:S201">Q201</f>
        <v>0</v>
      </c>
      <c r="R200" s="124">
        <f t="shared" si="24"/>
        <v>0</v>
      </c>
      <c r="S200" s="124">
        <f t="shared" si="24"/>
        <v>0</v>
      </c>
    </row>
    <row r="201" spans="1:19" ht="18.75" hidden="1">
      <c r="A201" s="76"/>
      <c r="B201" s="73"/>
      <c r="C201" s="68"/>
      <c r="D201" s="73"/>
      <c r="E201" s="76"/>
      <c r="F201" s="76"/>
      <c r="G201" s="51"/>
      <c r="H201" s="2" t="s">
        <v>8</v>
      </c>
      <c r="I201" s="5">
        <v>668</v>
      </c>
      <c r="J201" s="11">
        <v>4</v>
      </c>
      <c r="K201" s="11">
        <v>12</v>
      </c>
      <c r="L201" s="57" t="s">
        <v>223</v>
      </c>
      <c r="M201" s="58" t="s">
        <v>220</v>
      </c>
      <c r="N201" s="58" t="s">
        <v>232</v>
      </c>
      <c r="O201" s="58" t="s">
        <v>9</v>
      </c>
      <c r="P201" s="7"/>
      <c r="Q201" s="124">
        <f t="shared" si="24"/>
        <v>0</v>
      </c>
      <c r="R201" s="124">
        <f t="shared" si="24"/>
        <v>0</v>
      </c>
      <c r="S201" s="124">
        <f t="shared" si="24"/>
        <v>0</v>
      </c>
    </row>
    <row r="202" spans="1:19" ht="18.75" hidden="1">
      <c r="A202" s="76"/>
      <c r="B202" s="73"/>
      <c r="C202" s="68"/>
      <c r="D202" s="73"/>
      <c r="E202" s="76"/>
      <c r="F202" s="76"/>
      <c r="G202" s="51"/>
      <c r="H202" s="2" t="s">
        <v>301</v>
      </c>
      <c r="I202" s="5">
        <v>668</v>
      </c>
      <c r="J202" s="11">
        <v>4</v>
      </c>
      <c r="K202" s="11">
        <v>12</v>
      </c>
      <c r="L202" s="57" t="s">
        <v>223</v>
      </c>
      <c r="M202" s="58" t="s">
        <v>220</v>
      </c>
      <c r="N202" s="58" t="s">
        <v>232</v>
      </c>
      <c r="O202" s="58" t="s">
        <v>9</v>
      </c>
      <c r="P202" s="7">
        <v>610</v>
      </c>
      <c r="Q202" s="124"/>
      <c r="R202" s="126"/>
      <c r="S202" s="126"/>
    </row>
    <row r="203" spans="1:19" ht="18.75">
      <c r="A203" s="76"/>
      <c r="B203" s="73"/>
      <c r="C203" s="68"/>
      <c r="D203" s="73"/>
      <c r="E203" s="76"/>
      <c r="F203" s="76"/>
      <c r="G203" s="51"/>
      <c r="H203" s="2" t="s">
        <v>272</v>
      </c>
      <c r="I203" s="5">
        <v>668</v>
      </c>
      <c r="J203" s="11">
        <v>4</v>
      </c>
      <c r="K203" s="11">
        <v>12</v>
      </c>
      <c r="L203" s="57" t="s">
        <v>223</v>
      </c>
      <c r="M203" s="58" t="s">
        <v>220</v>
      </c>
      <c r="N203" s="58" t="s">
        <v>223</v>
      </c>
      <c r="O203" s="58" t="s">
        <v>261</v>
      </c>
      <c r="P203" s="7"/>
      <c r="Q203" s="124">
        <f>Q204+Q206</f>
        <v>7749.4</v>
      </c>
      <c r="R203" s="124">
        <f>R204+R206</f>
        <v>8525.2</v>
      </c>
      <c r="S203" s="124">
        <f>S204+S206</f>
        <v>9053.099999999999</v>
      </c>
    </row>
    <row r="204" spans="1:19" ht="18.75">
      <c r="A204" s="76"/>
      <c r="B204" s="73"/>
      <c r="C204" s="68"/>
      <c r="D204" s="69"/>
      <c r="E204" s="66"/>
      <c r="F204" s="66"/>
      <c r="G204" s="51"/>
      <c r="H204" s="2" t="s">
        <v>8</v>
      </c>
      <c r="I204" s="5">
        <v>668</v>
      </c>
      <c r="J204" s="11">
        <v>4</v>
      </c>
      <c r="K204" s="11">
        <v>12</v>
      </c>
      <c r="L204" s="57" t="s">
        <v>223</v>
      </c>
      <c r="M204" s="58" t="s">
        <v>220</v>
      </c>
      <c r="N204" s="58" t="s">
        <v>223</v>
      </c>
      <c r="O204" s="58" t="s">
        <v>9</v>
      </c>
      <c r="P204" s="7"/>
      <c r="Q204" s="124">
        <f>Q205</f>
        <v>4765.7</v>
      </c>
      <c r="R204" s="124">
        <f>R205</f>
        <v>5174.1</v>
      </c>
      <c r="S204" s="124">
        <f>S205</f>
        <v>5295.9</v>
      </c>
    </row>
    <row r="205" spans="1:19" ht="18.75">
      <c r="A205" s="72"/>
      <c r="B205" s="73"/>
      <c r="C205" s="68"/>
      <c r="D205" s="69"/>
      <c r="E205" s="66"/>
      <c r="F205" s="66"/>
      <c r="G205" s="51"/>
      <c r="H205" s="2" t="s">
        <v>301</v>
      </c>
      <c r="I205" s="5">
        <v>668</v>
      </c>
      <c r="J205" s="11">
        <v>4</v>
      </c>
      <c r="K205" s="11">
        <v>12</v>
      </c>
      <c r="L205" s="57" t="s">
        <v>223</v>
      </c>
      <c r="M205" s="58" t="s">
        <v>220</v>
      </c>
      <c r="N205" s="58" t="s">
        <v>223</v>
      </c>
      <c r="O205" s="58" t="s">
        <v>9</v>
      </c>
      <c r="P205" s="7">
        <v>610</v>
      </c>
      <c r="Q205" s="124">
        <f>4945.7-120+120-180</f>
        <v>4765.7</v>
      </c>
      <c r="R205" s="126">
        <v>5174.1</v>
      </c>
      <c r="S205" s="126">
        <v>5295.9</v>
      </c>
    </row>
    <row r="206" spans="1:19" ht="31.5">
      <c r="A206" s="59"/>
      <c r="B206" s="60"/>
      <c r="C206" s="68"/>
      <c r="D206" s="73"/>
      <c r="E206" s="76"/>
      <c r="F206" s="76"/>
      <c r="G206" s="51"/>
      <c r="H206" s="2" t="s">
        <v>374</v>
      </c>
      <c r="I206" s="5">
        <v>668</v>
      </c>
      <c r="J206" s="11">
        <v>4</v>
      </c>
      <c r="K206" s="11">
        <v>12</v>
      </c>
      <c r="L206" s="57" t="s">
        <v>223</v>
      </c>
      <c r="M206" s="58" t="s">
        <v>220</v>
      </c>
      <c r="N206" s="58" t="s">
        <v>223</v>
      </c>
      <c r="O206" s="58" t="s">
        <v>373</v>
      </c>
      <c r="P206" s="7"/>
      <c r="Q206" s="124">
        <f>Q207</f>
        <v>2983.7</v>
      </c>
      <c r="R206" s="124">
        <f>R207</f>
        <v>3351.1</v>
      </c>
      <c r="S206" s="124">
        <f>S207</f>
        <v>3757.2</v>
      </c>
    </row>
    <row r="207" spans="1:19" ht="18.75">
      <c r="A207" s="72"/>
      <c r="B207" s="73"/>
      <c r="C207" s="68"/>
      <c r="D207" s="69"/>
      <c r="E207" s="66"/>
      <c r="F207" s="66"/>
      <c r="G207" s="51"/>
      <c r="H207" s="2" t="s">
        <v>301</v>
      </c>
      <c r="I207" s="5">
        <v>668</v>
      </c>
      <c r="J207" s="11">
        <v>4</v>
      </c>
      <c r="K207" s="11">
        <v>12</v>
      </c>
      <c r="L207" s="57" t="s">
        <v>223</v>
      </c>
      <c r="M207" s="58" t="s">
        <v>220</v>
      </c>
      <c r="N207" s="58" t="s">
        <v>223</v>
      </c>
      <c r="O207" s="58" t="s">
        <v>373</v>
      </c>
      <c r="P207" s="7">
        <v>610</v>
      </c>
      <c r="Q207" s="124">
        <v>2983.7</v>
      </c>
      <c r="R207" s="126">
        <v>3351.1</v>
      </c>
      <c r="S207" s="126">
        <v>3757.2</v>
      </c>
    </row>
    <row r="208" spans="1:19" ht="31.5">
      <c r="A208" s="76"/>
      <c r="B208" s="73"/>
      <c r="C208" s="68"/>
      <c r="D208" s="73"/>
      <c r="E208" s="76"/>
      <c r="F208" s="76"/>
      <c r="G208" s="51"/>
      <c r="H208" s="2" t="s">
        <v>25</v>
      </c>
      <c r="I208" s="9">
        <v>668</v>
      </c>
      <c r="J208" s="11">
        <v>4</v>
      </c>
      <c r="K208" s="11">
        <v>12</v>
      </c>
      <c r="L208" s="57" t="s">
        <v>223</v>
      </c>
      <c r="M208" s="58" t="s">
        <v>220</v>
      </c>
      <c r="N208" s="58" t="s">
        <v>239</v>
      </c>
      <c r="O208" s="58" t="s">
        <v>261</v>
      </c>
      <c r="P208" s="3"/>
      <c r="Q208" s="126">
        <f aca="true" t="shared" si="25" ref="Q208:S209">Q209</f>
        <v>60</v>
      </c>
      <c r="R208" s="126">
        <f t="shared" si="25"/>
        <v>0</v>
      </c>
      <c r="S208" s="126">
        <f t="shared" si="25"/>
        <v>0</v>
      </c>
    </row>
    <row r="209" spans="1:19" ht="18.75">
      <c r="A209" s="72"/>
      <c r="B209" s="73"/>
      <c r="C209" s="68"/>
      <c r="D209" s="69"/>
      <c r="E209" s="66"/>
      <c r="F209" s="66"/>
      <c r="G209" s="51"/>
      <c r="H209" s="2" t="s">
        <v>8</v>
      </c>
      <c r="I209" s="9">
        <v>668</v>
      </c>
      <c r="J209" s="11">
        <v>4</v>
      </c>
      <c r="K209" s="11">
        <v>12</v>
      </c>
      <c r="L209" s="57" t="s">
        <v>223</v>
      </c>
      <c r="M209" s="58" t="s">
        <v>220</v>
      </c>
      <c r="N209" s="58" t="s">
        <v>239</v>
      </c>
      <c r="O209" s="58" t="s">
        <v>9</v>
      </c>
      <c r="P209" s="3"/>
      <c r="Q209" s="126">
        <f t="shared" si="25"/>
        <v>60</v>
      </c>
      <c r="R209" s="126">
        <f t="shared" si="25"/>
        <v>0</v>
      </c>
      <c r="S209" s="126">
        <f t="shared" si="25"/>
        <v>0</v>
      </c>
    </row>
    <row r="210" spans="1:19" ht="18.75">
      <c r="A210" s="72"/>
      <c r="B210" s="73"/>
      <c r="C210" s="68"/>
      <c r="D210" s="69"/>
      <c r="E210" s="66"/>
      <c r="F210" s="66"/>
      <c r="G210" s="51"/>
      <c r="H210" s="2" t="s">
        <v>301</v>
      </c>
      <c r="I210" s="9">
        <v>668</v>
      </c>
      <c r="J210" s="11">
        <v>4</v>
      </c>
      <c r="K210" s="11">
        <v>12</v>
      </c>
      <c r="L210" s="57" t="s">
        <v>223</v>
      </c>
      <c r="M210" s="58" t="s">
        <v>220</v>
      </c>
      <c r="N210" s="58" t="s">
        <v>239</v>
      </c>
      <c r="O210" s="58" t="s">
        <v>9</v>
      </c>
      <c r="P210" s="3">
        <v>610</v>
      </c>
      <c r="Q210" s="126">
        <v>60</v>
      </c>
      <c r="R210" s="126">
        <v>0</v>
      </c>
      <c r="S210" s="126">
        <v>0</v>
      </c>
    </row>
    <row r="211" spans="1:19" ht="31.5">
      <c r="A211" s="72"/>
      <c r="B211" s="73"/>
      <c r="C211" s="68"/>
      <c r="D211" s="69"/>
      <c r="E211" s="66"/>
      <c r="F211" s="66"/>
      <c r="G211" s="51"/>
      <c r="H211" s="2" t="s">
        <v>539</v>
      </c>
      <c r="I211" s="9">
        <v>668</v>
      </c>
      <c r="J211" s="11">
        <v>4</v>
      </c>
      <c r="K211" s="11">
        <v>12</v>
      </c>
      <c r="L211" s="57" t="s">
        <v>243</v>
      </c>
      <c r="M211" s="58" t="s">
        <v>220</v>
      </c>
      <c r="N211" s="58" t="s">
        <v>229</v>
      </c>
      <c r="O211" s="58" t="s">
        <v>261</v>
      </c>
      <c r="P211" s="3"/>
      <c r="Q211" s="126">
        <f>Q212+Q222</f>
        <v>4076.5</v>
      </c>
      <c r="R211" s="126">
        <f>R212+R222</f>
        <v>1507.7999999999997</v>
      </c>
      <c r="S211" s="126">
        <f>S212+S222</f>
        <v>1507.7999999999997</v>
      </c>
    </row>
    <row r="212" spans="1:19" ht="31.5">
      <c r="A212" s="72"/>
      <c r="B212" s="74"/>
      <c r="C212" s="68"/>
      <c r="D212" s="71"/>
      <c r="E212" s="66"/>
      <c r="F212" s="66"/>
      <c r="G212" s="51"/>
      <c r="H212" s="26" t="s">
        <v>820</v>
      </c>
      <c r="I212" s="9">
        <v>668</v>
      </c>
      <c r="J212" s="11">
        <v>4</v>
      </c>
      <c r="K212" s="11">
        <v>12</v>
      </c>
      <c r="L212" s="57" t="s">
        <v>243</v>
      </c>
      <c r="M212" s="58" t="s">
        <v>220</v>
      </c>
      <c r="N212" s="58" t="s">
        <v>221</v>
      </c>
      <c r="O212" s="58" t="s">
        <v>261</v>
      </c>
      <c r="P212" s="3"/>
      <c r="Q212" s="126">
        <f>Q213+Q218+Q220+Q216</f>
        <v>3996.5</v>
      </c>
      <c r="R212" s="126">
        <f>R213+R218+R220+R216</f>
        <v>1427.7999999999997</v>
      </c>
      <c r="S212" s="126">
        <f>S213+S218+S220+S216</f>
        <v>1427.7999999999997</v>
      </c>
    </row>
    <row r="213" spans="1:19" ht="18.75">
      <c r="A213" s="72"/>
      <c r="B213" s="74"/>
      <c r="C213" s="68"/>
      <c r="D213" s="71"/>
      <c r="E213" s="66"/>
      <c r="F213" s="66"/>
      <c r="G213" s="51"/>
      <c r="H213" s="26" t="s">
        <v>5</v>
      </c>
      <c r="I213" s="9">
        <v>668</v>
      </c>
      <c r="J213" s="11">
        <v>4</v>
      </c>
      <c r="K213" s="11">
        <v>12</v>
      </c>
      <c r="L213" s="57" t="s">
        <v>243</v>
      </c>
      <c r="M213" s="58" t="s">
        <v>220</v>
      </c>
      <c r="N213" s="58" t="s">
        <v>221</v>
      </c>
      <c r="O213" s="58" t="s">
        <v>4</v>
      </c>
      <c r="P213" s="7"/>
      <c r="Q213" s="124">
        <f>Q214+Q215</f>
        <v>30</v>
      </c>
      <c r="R213" s="124">
        <f>R214+R215</f>
        <v>30</v>
      </c>
      <c r="S213" s="124">
        <f>S214+S215</f>
        <v>30</v>
      </c>
    </row>
    <row r="214" spans="1:19" ht="18.75">
      <c r="A214" s="72"/>
      <c r="B214" s="74"/>
      <c r="C214" s="68"/>
      <c r="D214" s="71"/>
      <c r="E214" s="66"/>
      <c r="F214" s="66"/>
      <c r="G214" s="51"/>
      <c r="H214" s="2" t="s">
        <v>299</v>
      </c>
      <c r="I214" s="9">
        <v>668</v>
      </c>
      <c r="J214" s="11">
        <v>4</v>
      </c>
      <c r="K214" s="11">
        <v>12</v>
      </c>
      <c r="L214" s="57" t="s">
        <v>243</v>
      </c>
      <c r="M214" s="58" t="s">
        <v>220</v>
      </c>
      <c r="N214" s="58" t="s">
        <v>221</v>
      </c>
      <c r="O214" s="58" t="s">
        <v>4</v>
      </c>
      <c r="P214" s="7">
        <v>240</v>
      </c>
      <c r="Q214" s="124">
        <v>10</v>
      </c>
      <c r="R214" s="124">
        <v>10</v>
      </c>
      <c r="S214" s="124">
        <v>10</v>
      </c>
    </row>
    <row r="215" spans="1:19" ht="31.5">
      <c r="A215" s="59"/>
      <c r="B215" s="60"/>
      <c r="C215" s="68"/>
      <c r="D215" s="73"/>
      <c r="E215" s="76"/>
      <c r="F215" s="76"/>
      <c r="G215" s="51"/>
      <c r="H215" s="2" t="s">
        <v>359</v>
      </c>
      <c r="I215" s="9">
        <v>668</v>
      </c>
      <c r="J215" s="11">
        <v>4</v>
      </c>
      <c r="K215" s="11">
        <v>12</v>
      </c>
      <c r="L215" s="57" t="s">
        <v>243</v>
      </c>
      <c r="M215" s="58" t="s">
        <v>220</v>
      </c>
      <c r="N215" s="58" t="s">
        <v>221</v>
      </c>
      <c r="O215" s="58" t="s">
        <v>4</v>
      </c>
      <c r="P215" s="7">
        <v>810</v>
      </c>
      <c r="Q215" s="124">
        <v>20</v>
      </c>
      <c r="R215" s="124">
        <v>20</v>
      </c>
      <c r="S215" s="124">
        <v>20</v>
      </c>
    </row>
    <row r="216" spans="1:19" ht="31.5">
      <c r="A216" s="59"/>
      <c r="B216" s="60"/>
      <c r="C216" s="68"/>
      <c r="D216" s="73"/>
      <c r="E216" s="76"/>
      <c r="F216" s="76"/>
      <c r="G216" s="51"/>
      <c r="H216" s="2" t="s">
        <v>1107</v>
      </c>
      <c r="I216" s="9">
        <v>668</v>
      </c>
      <c r="J216" s="11">
        <v>4</v>
      </c>
      <c r="K216" s="11">
        <v>12</v>
      </c>
      <c r="L216" s="57" t="s">
        <v>243</v>
      </c>
      <c r="M216" s="58" t="s">
        <v>220</v>
      </c>
      <c r="N216" s="58" t="s">
        <v>221</v>
      </c>
      <c r="O216" s="58" t="s">
        <v>1109</v>
      </c>
      <c r="P216" s="7"/>
      <c r="Q216" s="124">
        <f>Q217</f>
        <v>2499</v>
      </c>
      <c r="R216" s="124">
        <f>R217</f>
        <v>0</v>
      </c>
      <c r="S216" s="124">
        <f>S217</f>
        <v>0</v>
      </c>
    </row>
    <row r="217" spans="1:19" ht="18.75">
      <c r="A217" s="59"/>
      <c r="B217" s="60"/>
      <c r="C217" s="68"/>
      <c r="D217" s="73"/>
      <c r="E217" s="76"/>
      <c r="F217" s="76"/>
      <c r="G217" s="51"/>
      <c r="H217" s="2" t="s">
        <v>299</v>
      </c>
      <c r="I217" s="9">
        <v>668</v>
      </c>
      <c r="J217" s="11">
        <v>4</v>
      </c>
      <c r="K217" s="11">
        <v>12</v>
      </c>
      <c r="L217" s="57" t="s">
        <v>243</v>
      </c>
      <c r="M217" s="58" t="s">
        <v>220</v>
      </c>
      <c r="N217" s="58" t="s">
        <v>221</v>
      </c>
      <c r="O217" s="58" t="s">
        <v>1109</v>
      </c>
      <c r="P217" s="7">
        <v>240</v>
      </c>
      <c r="Q217" s="124">
        <f>1666.8+832.2</f>
        <v>2499</v>
      </c>
      <c r="R217" s="124">
        <v>0</v>
      </c>
      <c r="S217" s="124">
        <v>0</v>
      </c>
    </row>
    <row r="218" spans="1:19" ht="18.75">
      <c r="A218" s="59"/>
      <c r="B218" s="60"/>
      <c r="C218" s="68"/>
      <c r="D218" s="73"/>
      <c r="E218" s="76"/>
      <c r="F218" s="76"/>
      <c r="G218" s="51"/>
      <c r="H218" s="2" t="s">
        <v>358</v>
      </c>
      <c r="I218" s="9">
        <v>668</v>
      </c>
      <c r="J218" s="11">
        <v>4</v>
      </c>
      <c r="K218" s="11">
        <v>12</v>
      </c>
      <c r="L218" s="57" t="s">
        <v>243</v>
      </c>
      <c r="M218" s="58" t="s">
        <v>220</v>
      </c>
      <c r="N218" s="58" t="s">
        <v>221</v>
      </c>
      <c r="O218" s="58" t="s">
        <v>357</v>
      </c>
      <c r="P218" s="7"/>
      <c r="Q218" s="124">
        <f>Q219</f>
        <v>426.1</v>
      </c>
      <c r="R218" s="124">
        <f>R219</f>
        <v>356.4</v>
      </c>
      <c r="S218" s="124">
        <f>S219</f>
        <v>356.4</v>
      </c>
    </row>
    <row r="219" spans="1:19" ht="31.5">
      <c r="A219" s="59"/>
      <c r="B219" s="60"/>
      <c r="C219" s="68"/>
      <c r="D219" s="73"/>
      <c r="E219" s="76"/>
      <c r="F219" s="76"/>
      <c r="G219" s="51"/>
      <c r="H219" s="2" t="s">
        <v>359</v>
      </c>
      <c r="I219" s="9">
        <v>668</v>
      </c>
      <c r="J219" s="11">
        <v>4</v>
      </c>
      <c r="K219" s="11">
        <v>12</v>
      </c>
      <c r="L219" s="57" t="s">
        <v>243</v>
      </c>
      <c r="M219" s="58" t="s">
        <v>220</v>
      </c>
      <c r="N219" s="58" t="s">
        <v>221</v>
      </c>
      <c r="O219" s="58" t="s">
        <v>357</v>
      </c>
      <c r="P219" s="7">
        <v>810</v>
      </c>
      <c r="Q219" s="124">
        <v>426.1</v>
      </c>
      <c r="R219" s="125">
        <v>356.4</v>
      </c>
      <c r="S219" s="125">
        <v>356.4</v>
      </c>
    </row>
    <row r="220" spans="1:19" ht="31.5">
      <c r="A220" s="59"/>
      <c r="B220" s="60"/>
      <c r="C220" s="68"/>
      <c r="D220" s="73"/>
      <c r="E220" s="76"/>
      <c r="F220" s="76"/>
      <c r="G220" s="51"/>
      <c r="H220" s="2" t="s">
        <v>1054</v>
      </c>
      <c r="I220" s="9">
        <v>668</v>
      </c>
      <c r="J220" s="11">
        <v>4</v>
      </c>
      <c r="K220" s="11">
        <v>12</v>
      </c>
      <c r="L220" s="57" t="s">
        <v>243</v>
      </c>
      <c r="M220" s="58" t="s">
        <v>220</v>
      </c>
      <c r="N220" s="58" t="s">
        <v>221</v>
      </c>
      <c r="O220" s="58" t="s">
        <v>1053</v>
      </c>
      <c r="P220" s="7"/>
      <c r="Q220" s="124">
        <f>Q221</f>
        <v>1041.3999999999999</v>
      </c>
      <c r="R220" s="124">
        <f>R221</f>
        <v>1041.3999999999999</v>
      </c>
      <c r="S220" s="124">
        <f>S221</f>
        <v>1041.3999999999999</v>
      </c>
    </row>
    <row r="221" spans="1:19" ht="31.5">
      <c r="A221" s="59"/>
      <c r="B221" s="60"/>
      <c r="C221" s="68"/>
      <c r="D221" s="73"/>
      <c r="E221" s="76"/>
      <c r="F221" s="76"/>
      <c r="G221" s="51"/>
      <c r="H221" s="2" t="s">
        <v>359</v>
      </c>
      <c r="I221" s="9">
        <v>668</v>
      </c>
      <c r="J221" s="11">
        <v>4</v>
      </c>
      <c r="K221" s="11">
        <v>12</v>
      </c>
      <c r="L221" s="57" t="s">
        <v>243</v>
      </c>
      <c r="M221" s="58" t="s">
        <v>220</v>
      </c>
      <c r="N221" s="58" t="s">
        <v>221</v>
      </c>
      <c r="O221" s="58" t="s">
        <v>1053</v>
      </c>
      <c r="P221" s="7">
        <v>810</v>
      </c>
      <c r="Q221" s="124">
        <f>989.3+52.1</f>
        <v>1041.3999999999999</v>
      </c>
      <c r="R221" s="125">
        <f>989.3+52.1</f>
        <v>1041.3999999999999</v>
      </c>
      <c r="S221" s="125">
        <f>989.3+52.1</f>
        <v>1041.3999999999999</v>
      </c>
    </row>
    <row r="222" spans="1:19" ht="31.5">
      <c r="A222" s="59"/>
      <c r="B222" s="60"/>
      <c r="C222" s="68"/>
      <c r="D222" s="73"/>
      <c r="E222" s="76"/>
      <c r="F222" s="76"/>
      <c r="G222" s="51"/>
      <c r="H222" s="2" t="s">
        <v>498</v>
      </c>
      <c r="I222" s="9">
        <v>668</v>
      </c>
      <c r="J222" s="11">
        <v>4</v>
      </c>
      <c r="K222" s="11">
        <v>12</v>
      </c>
      <c r="L222" s="57" t="s">
        <v>243</v>
      </c>
      <c r="M222" s="58" t="s">
        <v>220</v>
      </c>
      <c r="N222" s="58" t="s">
        <v>236</v>
      </c>
      <c r="O222" s="58" t="s">
        <v>261</v>
      </c>
      <c r="P222" s="7"/>
      <c r="Q222" s="124">
        <f aca="true" t="shared" si="26" ref="Q222:S223">Q223</f>
        <v>80</v>
      </c>
      <c r="R222" s="124">
        <f t="shared" si="26"/>
        <v>80</v>
      </c>
      <c r="S222" s="124">
        <f t="shared" si="26"/>
        <v>80</v>
      </c>
    </row>
    <row r="223" spans="1:19" ht="18.75">
      <c r="A223" s="59"/>
      <c r="B223" s="60"/>
      <c r="C223" s="68"/>
      <c r="D223" s="73"/>
      <c r="E223" s="76"/>
      <c r="F223" s="76"/>
      <c r="G223" s="51"/>
      <c r="H223" s="2" t="s">
        <v>7</v>
      </c>
      <c r="I223" s="9">
        <v>668</v>
      </c>
      <c r="J223" s="11">
        <v>4</v>
      </c>
      <c r="K223" s="11">
        <v>12</v>
      </c>
      <c r="L223" s="57" t="s">
        <v>243</v>
      </c>
      <c r="M223" s="58" t="s">
        <v>220</v>
      </c>
      <c r="N223" s="58" t="s">
        <v>236</v>
      </c>
      <c r="O223" s="58" t="s">
        <v>6</v>
      </c>
      <c r="P223" s="7"/>
      <c r="Q223" s="124">
        <f t="shared" si="26"/>
        <v>80</v>
      </c>
      <c r="R223" s="124">
        <f t="shared" si="26"/>
        <v>80</v>
      </c>
      <c r="S223" s="124">
        <f t="shared" si="26"/>
        <v>80</v>
      </c>
    </row>
    <row r="224" spans="1:19" ht="18.75">
      <c r="A224" s="59"/>
      <c r="B224" s="60"/>
      <c r="C224" s="76"/>
      <c r="D224" s="73"/>
      <c r="E224" s="76"/>
      <c r="F224" s="76"/>
      <c r="G224" s="51"/>
      <c r="H224" s="2" t="s">
        <v>299</v>
      </c>
      <c r="I224" s="9">
        <v>668</v>
      </c>
      <c r="J224" s="11">
        <v>4</v>
      </c>
      <c r="K224" s="11">
        <v>12</v>
      </c>
      <c r="L224" s="57" t="s">
        <v>243</v>
      </c>
      <c r="M224" s="58" t="s">
        <v>220</v>
      </c>
      <c r="N224" s="58" t="s">
        <v>236</v>
      </c>
      <c r="O224" s="58" t="s">
        <v>6</v>
      </c>
      <c r="P224" s="7">
        <v>240</v>
      </c>
      <c r="Q224" s="124">
        <v>80</v>
      </c>
      <c r="R224" s="124">
        <v>80</v>
      </c>
      <c r="S224" s="124">
        <v>80</v>
      </c>
    </row>
    <row r="225" spans="1:19" s="113" customFormat="1" ht="19.5">
      <c r="A225" s="89"/>
      <c r="B225" s="90"/>
      <c r="C225" s="106"/>
      <c r="D225" s="128"/>
      <c r="E225" s="106"/>
      <c r="F225" s="106"/>
      <c r="G225" s="84"/>
      <c r="H225" s="227" t="s">
        <v>244</v>
      </c>
      <c r="I225" s="251">
        <v>668</v>
      </c>
      <c r="J225" s="86">
        <v>5</v>
      </c>
      <c r="K225" s="86" t="s">
        <v>262</v>
      </c>
      <c r="L225" s="87"/>
      <c r="M225" s="88"/>
      <c r="N225" s="88"/>
      <c r="O225" s="88"/>
      <c r="P225" s="85"/>
      <c r="Q225" s="123">
        <f>Q226+Q242+Q274+Q298</f>
        <v>621013.8999999999</v>
      </c>
      <c r="R225" s="123">
        <f>R226+R242+R274+R298</f>
        <v>15253.1</v>
      </c>
      <c r="S225" s="123">
        <f>S226+S242+S274+S298</f>
        <v>11481.900000000001</v>
      </c>
    </row>
    <row r="226" spans="1:19" s="113" customFormat="1" ht="19.5">
      <c r="A226" s="89"/>
      <c r="B226" s="90"/>
      <c r="C226" s="89"/>
      <c r="D226" s="467">
        <v>5220000</v>
      </c>
      <c r="E226" s="468"/>
      <c r="F226" s="468"/>
      <c r="G226" s="84">
        <v>622</v>
      </c>
      <c r="H226" s="222" t="s">
        <v>260</v>
      </c>
      <c r="I226" s="251">
        <v>668</v>
      </c>
      <c r="J226" s="86">
        <v>5</v>
      </c>
      <c r="K226" s="86">
        <v>1</v>
      </c>
      <c r="L226" s="87"/>
      <c r="M226" s="88"/>
      <c r="N226" s="88"/>
      <c r="O226" s="88"/>
      <c r="P226" s="85"/>
      <c r="Q226" s="123">
        <f>Q231+Q227</f>
        <v>610319.3999999999</v>
      </c>
      <c r="R226" s="123">
        <f>R231+R227</f>
        <v>0</v>
      </c>
      <c r="S226" s="123">
        <f>S231+S227</f>
        <v>0</v>
      </c>
    </row>
    <row r="227" spans="1:19" s="113" customFormat="1" ht="31.5" hidden="1">
      <c r="A227" s="89"/>
      <c r="B227" s="90"/>
      <c r="C227" s="106"/>
      <c r="D227" s="107"/>
      <c r="E227" s="196"/>
      <c r="F227" s="196"/>
      <c r="G227" s="84"/>
      <c r="H227" s="129" t="s">
        <v>522</v>
      </c>
      <c r="I227" s="9">
        <v>668</v>
      </c>
      <c r="J227" s="11">
        <v>5</v>
      </c>
      <c r="K227" s="11">
        <v>1</v>
      </c>
      <c r="L227" s="57" t="s">
        <v>494</v>
      </c>
      <c r="M227" s="58" t="s">
        <v>220</v>
      </c>
      <c r="N227" s="58" t="s">
        <v>229</v>
      </c>
      <c r="O227" s="58" t="s">
        <v>261</v>
      </c>
      <c r="P227" s="7"/>
      <c r="Q227" s="124">
        <f>Q230</f>
        <v>0</v>
      </c>
      <c r="R227" s="124">
        <v>0</v>
      </c>
      <c r="S227" s="124">
        <v>0</v>
      </c>
    </row>
    <row r="228" spans="1:19" s="113" customFormat="1" ht="31.5" hidden="1">
      <c r="A228" s="89"/>
      <c r="B228" s="90"/>
      <c r="C228" s="106"/>
      <c r="D228" s="107"/>
      <c r="E228" s="196"/>
      <c r="F228" s="196"/>
      <c r="G228" s="84"/>
      <c r="H228" s="129" t="s">
        <v>523</v>
      </c>
      <c r="I228" s="9">
        <v>668</v>
      </c>
      <c r="J228" s="11">
        <v>5</v>
      </c>
      <c r="K228" s="11">
        <v>1</v>
      </c>
      <c r="L228" s="57" t="s">
        <v>494</v>
      </c>
      <c r="M228" s="58" t="s">
        <v>220</v>
      </c>
      <c r="N228" s="58" t="s">
        <v>221</v>
      </c>
      <c r="O228" s="58" t="s">
        <v>261</v>
      </c>
      <c r="P228" s="7"/>
      <c r="Q228" s="124">
        <f>Q230</f>
        <v>0</v>
      </c>
      <c r="R228" s="124">
        <v>0</v>
      </c>
      <c r="S228" s="124">
        <v>0</v>
      </c>
    </row>
    <row r="229" spans="1:19" s="113" customFormat="1" ht="18.75" hidden="1">
      <c r="A229" s="89"/>
      <c r="B229" s="90"/>
      <c r="C229" s="106"/>
      <c r="D229" s="107"/>
      <c r="E229" s="196"/>
      <c r="F229" s="196"/>
      <c r="G229" s="84"/>
      <c r="H229" s="129" t="s">
        <v>11</v>
      </c>
      <c r="I229" s="9">
        <v>668</v>
      </c>
      <c r="J229" s="11">
        <v>5</v>
      </c>
      <c r="K229" s="11">
        <v>1</v>
      </c>
      <c r="L229" s="57" t="s">
        <v>494</v>
      </c>
      <c r="M229" s="58" t="s">
        <v>220</v>
      </c>
      <c r="N229" s="58" t="s">
        <v>221</v>
      </c>
      <c r="O229" s="58" t="s">
        <v>70</v>
      </c>
      <c r="P229" s="7"/>
      <c r="Q229" s="124">
        <f>Q230</f>
        <v>0</v>
      </c>
      <c r="R229" s="124">
        <v>0</v>
      </c>
      <c r="S229" s="124">
        <v>0</v>
      </c>
    </row>
    <row r="230" spans="1:19" s="113" customFormat="1" ht="18.75" hidden="1">
      <c r="A230" s="89"/>
      <c r="B230" s="90"/>
      <c r="C230" s="106"/>
      <c r="D230" s="107"/>
      <c r="E230" s="196"/>
      <c r="F230" s="196"/>
      <c r="G230" s="84"/>
      <c r="H230" s="2" t="s">
        <v>299</v>
      </c>
      <c r="I230" s="9">
        <v>668</v>
      </c>
      <c r="J230" s="11">
        <v>5</v>
      </c>
      <c r="K230" s="11">
        <v>1</v>
      </c>
      <c r="L230" s="57" t="s">
        <v>494</v>
      </c>
      <c r="M230" s="58" t="s">
        <v>220</v>
      </c>
      <c r="N230" s="58" t="s">
        <v>221</v>
      </c>
      <c r="O230" s="58" t="s">
        <v>70</v>
      </c>
      <c r="P230" s="7">
        <v>240</v>
      </c>
      <c r="Q230" s="124"/>
      <c r="R230" s="124"/>
      <c r="S230" s="124"/>
    </row>
    <row r="231" spans="1:19" ht="47.25">
      <c r="A231" s="59"/>
      <c r="B231" s="60"/>
      <c r="C231" s="68"/>
      <c r="D231" s="73"/>
      <c r="E231" s="76"/>
      <c r="F231" s="76"/>
      <c r="G231" s="51"/>
      <c r="H231" s="26" t="s">
        <v>343</v>
      </c>
      <c r="I231" s="5">
        <v>668</v>
      </c>
      <c r="J231" s="11">
        <v>5</v>
      </c>
      <c r="K231" s="11">
        <v>1</v>
      </c>
      <c r="L231" s="57" t="s">
        <v>22</v>
      </c>
      <c r="M231" s="58" t="s">
        <v>220</v>
      </c>
      <c r="N231" s="58" t="s">
        <v>229</v>
      </c>
      <c r="O231" s="58" t="s">
        <v>261</v>
      </c>
      <c r="P231" s="7"/>
      <c r="Q231" s="124">
        <f>Q232</f>
        <v>610319.3999999999</v>
      </c>
      <c r="R231" s="124">
        <f>R232</f>
        <v>0</v>
      </c>
      <c r="S231" s="124">
        <f>S232</f>
        <v>0</v>
      </c>
    </row>
    <row r="232" spans="1:19" ht="31.5">
      <c r="A232" s="76"/>
      <c r="B232" s="73"/>
      <c r="C232" s="68"/>
      <c r="D232" s="73"/>
      <c r="E232" s="76"/>
      <c r="F232" s="76"/>
      <c r="G232" s="51"/>
      <c r="H232" s="26" t="s">
        <v>399</v>
      </c>
      <c r="I232" s="9">
        <v>668</v>
      </c>
      <c r="J232" s="11">
        <v>5</v>
      </c>
      <c r="K232" s="11">
        <v>1</v>
      </c>
      <c r="L232" s="57" t="s">
        <v>22</v>
      </c>
      <c r="M232" s="58" t="s">
        <v>220</v>
      </c>
      <c r="N232" s="58" t="s">
        <v>344</v>
      </c>
      <c r="O232" s="58" t="s">
        <v>261</v>
      </c>
      <c r="P232" s="7"/>
      <c r="Q232" s="124">
        <f>Q233+Q236+Q239</f>
        <v>610319.3999999999</v>
      </c>
      <c r="R232" s="124">
        <f>R233+R236+R239</f>
        <v>0</v>
      </c>
      <c r="S232" s="124">
        <f>S233+S236+S239</f>
        <v>0</v>
      </c>
    </row>
    <row r="233" spans="1:19" ht="31.5">
      <c r="A233" s="72"/>
      <c r="B233" s="73"/>
      <c r="C233" s="68"/>
      <c r="D233" s="69"/>
      <c r="E233" s="66"/>
      <c r="F233" s="66"/>
      <c r="G233" s="51"/>
      <c r="H233" s="26" t="s">
        <v>338</v>
      </c>
      <c r="I233" s="9">
        <v>668</v>
      </c>
      <c r="J233" s="11">
        <v>5</v>
      </c>
      <c r="K233" s="11">
        <v>1</v>
      </c>
      <c r="L233" s="57" t="s">
        <v>22</v>
      </c>
      <c r="M233" s="58" t="s">
        <v>220</v>
      </c>
      <c r="N233" s="58" t="s">
        <v>344</v>
      </c>
      <c r="O233" s="58" t="s">
        <v>347</v>
      </c>
      <c r="P233" s="3"/>
      <c r="Q233" s="126">
        <f>Q234+Q235</f>
        <v>172204.8</v>
      </c>
      <c r="R233" s="126">
        <f>R234</f>
        <v>0</v>
      </c>
      <c r="S233" s="126">
        <f>S234</f>
        <v>0</v>
      </c>
    </row>
    <row r="234" spans="1:19" ht="18.75">
      <c r="A234" s="72"/>
      <c r="B234" s="74"/>
      <c r="C234" s="68"/>
      <c r="D234" s="71"/>
      <c r="E234" s="66"/>
      <c r="F234" s="66"/>
      <c r="G234" s="51"/>
      <c r="H234" s="26" t="s">
        <v>201</v>
      </c>
      <c r="I234" s="9">
        <v>668</v>
      </c>
      <c r="J234" s="11">
        <v>5</v>
      </c>
      <c r="K234" s="11">
        <v>1</v>
      </c>
      <c r="L234" s="57" t="s">
        <v>22</v>
      </c>
      <c r="M234" s="58" t="s">
        <v>220</v>
      </c>
      <c r="N234" s="58" t="s">
        <v>344</v>
      </c>
      <c r="O234" s="58" t="s">
        <v>347</v>
      </c>
      <c r="P234" s="3">
        <v>410</v>
      </c>
      <c r="Q234" s="126">
        <f>219103.6-8068.8-2228-54152.8</f>
        <v>154654</v>
      </c>
      <c r="R234" s="126">
        <v>0</v>
      </c>
      <c r="S234" s="126">
        <v>0</v>
      </c>
    </row>
    <row r="235" spans="1:19" ht="18.75">
      <c r="A235" s="72"/>
      <c r="B235" s="74"/>
      <c r="C235" s="68"/>
      <c r="D235" s="71"/>
      <c r="E235" s="66"/>
      <c r="F235" s="66"/>
      <c r="G235" s="51"/>
      <c r="H235" s="2" t="s">
        <v>300</v>
      </c>
      <c r="I235" s="9">
        <v>668</v>
      </c>
      <c r="J235" s="11">
        <v>5</v>
      </c>
      <c r="K235" s="11">
        <v>1</v>
      </c>
      <c r="L235" s="57" t="s">
        <v>22</v>
      </c>
      <c r="M235" s="58" t="s">
        <v>220</v>
      </c>
      <c r="N235" s="58" t="s">
        <v>344</v>
      </c>
      <c r="O235" s="58" t="s">
        <v>347</v>
      </c>
      <c r="P235" s="7">
        <v>850</v>
      </c>
      <c r="Q235" s="124">
        <f>7254+8068.8+2228</f>
        <v>17550.8</v>
      </c>
      <c r="R235" s="126">
        <v>0</v>
      </c>
      <c r="S235" s="126">
        <v>0</v>
      </c>
    </row>
    <row r="236" spans="1:19" ht="31.5">
      <c r="A236" s="72"/>
      <c r="B236" s="74"/>
      <c r="C236" s="68"/>
      <c r="D236" s="71"/>
      <c r="E236" s="66"/>
      <c r="F236" s="66"/>
      <c r="G236" s="51"/>
      <c r="H236" s="26" t="s">
        <v>339</v>
      </c>
      <c r="I236" s="9">
        <v>668</v>
      </c>
      <c r="J236" s="11">
        <v>5</v>
      </c>
      <c r="K236" s="11">
        <v>1</v>
      </c>
      <c r="L236" s="57" t="s">
        <v>22</v>
      </c>
      <c r="M236" s="58" t="s">
        <v>220</v>
      </c>
      <c r="N236" s="58" t="s">
        <v>344</v>
      </c>
      <c r="O236" s="58" t="s">
        <v>348</v>
      </c>
      <c r="P236" s="7"/>
      <c r="Q236" s="124">
        <f>Q237+Q238</f>
        <v>437095.1</v>
      </c>
      <c r="R236" s="124">
        <f>R237+R238</f>
        <v>0</v>
      </c>
      <c r="S236" s="124">
        <f>S237+S238</f>
        <v>0</v>
      </c>
    </row>
    <row r="237" spans="1:19" ht="18.75">
      <c r="A237" s="72"/>
      <c r="B237" s="74"/>
      <c r="C237" s="68"/>
      <c r="D237" s="71"/>
      <c r="E237" s="66"/>
      <c r="F237" s="66"/>
      <c r="G237" s="51"/>
      <c r="H237" s="26" t="s">
        <v>201</v>
      </c>
      <c r="I237" s="9">
        <v>668</v>
      </c>
      <c r="J237" s="11">
        <v>5</v>
      </c>
      <c r="K237" s="11">
        <v>1</v>
      </c>
      <c r="L237" s="57" t="s">
        <v>22</v>
      </c>
      <c r="M237" s="58" t="s">
        <v>220</v>
      </c>
      <c r="N237" s="58" t="s">
        <v>344</v>
      </c>
      <c r="O237" s="58" t="s">
        <v>348</v>
      </c>
      <c r="P237" s="7">
        <v>410</v>
      </c>
      <c r="Q237" s="124">
        <f>429733.1-336.2</f>
        <v>429396.89999999997</v>
      </c>
      <c r="R237" s="124">
        <v>0</v>
      </c>
      <c r="S237" s="124">
        <v>0</v>
      </c>
    </row>
    <row r="238" spans="1:19" ht="18.75">
      <c r="A238" s="72"/>
      <c r="B238" s="74"/>
      <c r="C238" s="68"/>
      <c r="D238" s="71"/>
      <c r="E238" s="66"/>
      <c r="F238" s="66"/>
      <c r="G238" s="51"/>
      <c r="H238" s="2" t="s">
        <v>300</v>
      </c>
      <c r="I238" s="9">
        <v>668</v>
      </c>
      <c r="J238" s="11">
        <v>5</v>
      </c>
      <c r="K238" s="11">
        <v>1</v>
      </c>
      <c r="L238" s="57" t="s">
        <v>22</v>
      </c>
      <c r="M238" s="58" t="s">
        <v>220</v>
      </c>
      <c r="N238" s="58" t="s">
        <v>344</v>
      </c>
      <c r="O238" s="58" t="s">
        <v>348</v>
      </c>
      <c r="P238" s="7">
        <v>850</v>
      </c>
      <c r="Q238" s="124">
        <f>1275.3+336.2+6086.7</f>
        <v>7698.2</v>
      </c>
      <c r="R238" s="126">
        <v>0</v>
      </c>
      <c r="S238" s="126">
        <v>0</v>
      </c>
    </row>
    <row r="239" spans="1:19" ht="31.5">
      <c r="A239" s="59"/>
      <c r="B239" s="60"/>
      <c r="C239" s="68"/>
      <c r="D239" s="73"/>
      <c r="E239" s="76"/>
      <c r="F239" s="76"/>
      <c r="G239" s="51"/>
      <c r="H239" s="26" t="s">
        <v>821</v>
      </c>
      <c r="I239" s="9">
        <v>668</v>
      </c>
      <c r="J239" s="11">
        <v>5</v>
      </c>
      <c r="K239" s="11">
        <v>1</v>
      </c>
      <c r="L239" s="57" t="s">
        <v>22</v>
      </c>
      <c r="M239" s="58" t="s">
        <v>220</v>
      </c>
      <c r="N239" s="58" t="s">
        <v>344</v>
      </c>
      <c r="O239" s="58" t="s">
        <v>350</v>
      </c>
      <c r="P239" s="7"/>
      <c r="Q239" s="124">
        <f>Q240+Q241</f>
        <v>1019.5</v>
      </c>
      <c r="R239" s="124">
        <f>R240+R241</f>
        <v>0</v>
      </c>
      <c r="S239" s="124">
        <f>S240+S241</f>
        <v>0</v>
      </c>
    </row>
    <row r="240" spans="1:19" ht="18.75">
      <c r="A240" s="59"/>
      <c r="B240" s="60"/>
      <c r="C240" s="68"/>
      <c r="D240" s="73"/>
      <c r="E240" s="76"/>
      <c r="F240" s="76"/>
      <c r="G240" s="51"/>
      <c r="H240" s="2" t="s">
        <v>299</v>
      </c>
      <c r="I240" s="9">
        <v>668</v>
      </c>
      <c r="J240" s="11">
        <v>5</v>
      </c>
      <c r="K240" s="11">
        <v>1</v>
      </c>
      <c r="L240" s="57" t="s">
        <v>22</v>
      </c>
      <c r="M240" s="58" t="s">
        <v>220</v>
      </c>
      <c r="N240" s="58" t="s">
        <v>344</v>
      </c>
      <c r="O240" s="58" t="s">
        <v>350</v>
      </c>
      <c r="P240" s="7">
        <v>240</v>
      </c>
      <c r="Q240" s="124">
        <f>1019.5-1000</f>
        <v>19.5</v>
      </c>
      <c r="R240" s="125">
        <v>0</v>
      </c>
      <c r="S240" s="125">
        <v>0</v>
      </c>
    </row>
    <row r="241" spans="1:19" ht="18.75">
      <c r="A241" s="59"/>
      <c r="B241" s="60"/>
      <c r="C241" s="68"/>
      <c r="D241" s="73"/>
      <c r="E241" s="76"/>
      <c r="F241" s="76"/>
      <c r="G241" s="51"/>
      <c r="H241" s="2" t="s">
        <v>318</v>
      </c>
      <c r="I241" s="9">
        <v>668</v>
      </c>
      <c r="J241" s="11">
        <v>5</v>
      </c>
      <c r="K241" s="11">
        <v>1</v>
      </c>
      <c r="L241" s="57" t="s">
        <v>22</v>
      </c>
      <c r="M241" s="58" t="s">
        <v>220</v>
      </c>
      <c r="N241" s="58" t="s">
        <v>344</v>
      </c>
      <c r="O241" s="58" t="s">
        <v>350</v>
      </c>
      <c r="P241" s="7">
        <v>620</v>
      </c>
      <c r="Q241" s="124">
        <f>1000</f>
        <v>1000</v>
      </c>
      <c r="R241" s="125">
        <v>0</v>
      </c>
      <c r="S241" s="125">
        <v>0</v>
      </c>
    </row>
    <row r="242" spans="1:19" s="113" customFormat="1" ht="19.5">
      <c r="A242" s="89"/>
      <c r="B242" s="90"/>
      <c r="C242" s="104"/>
      <c r="D242" s="128"/>
      <c r="E242" s="106"/>
      <c r="F242" s="106"/>
      <c r="G242" s="84"/>
      <c r="H242" s="222" t="s">
        <v>312</v>
      </c>
      <c r="I242" s="251">
        <v>668</v>
      </c>
      <c r="J242" s="86">
        <v>5</v>
      </c>
      <c r="K242" s="86">
        <v>2</v>
      </c>
      <c r="L242" s="87"/>
      <c r="M242" s="88"/>
      <c r="N242" s="88"/>
      <c r="O242" s="88"/>
      <c r="P242" s="85"/>
      <c r="Q242" s="123">
        <f>Q243+Q249</f>
        <v>9914.5</v>
      </c>
      <c r="R242" s="123">
        <f>R243+R249</f>
        <v>3418</v>
      </c>
      <c r="S242" s="123">
        <f>S243+S249</f>
        <v>3418</v>
      </c>
    </row>
    <row r="243" spans="1:19" ht="31.5" hidden="1">
      <c r="A243" s="59"/>
      <c r="B243" s="60"/>
      <c r="C243" s="68"/>
      <c r="D243" s="73"/>
      <c r="E243" s="76"/>
      <c r="F243" s="76"/>
      <c r="G243" s="51"/>
      <c r="H243" s="2" t="s">
        <v>522</v>
      </c>
      <c r="I243" s="9">
        <v>668</v>
      </c>
      <c r="J243" s="11">
        <v>5</v>
      </c>
      <c r="K243" s="11">
        <v>2</v>
      </c>
      <c r="L243" s="57" t="s">
        <v>494</v>
      </c>
      <c r="M243" s="58" t="s">
        <v>220</v>
      </c>
      <c r="N243" s="58" t="s">
        <v>229</v>
      </c>
      <c r="O243" s="58" t="s">
        <v>261</v>
      </c>
      <c r="P243" s="7"/>
      <c r="Q243" s="124">
        <f>Q244</f>
        <v>0</v>
      </c>
      <c r="R243" s="124">
        <f>R244</f>
        <v>0</v>
      </c>
      <c r="S243" s="124">
        <f>S244</f>
        <v>0</v>
      </c>
    </row>
    <row r="244" spans="1:19" ht="31.5" hidden="1">
      <c r="A244" s="59"/>
      <c r="B244" s="60"/>
      <c r="C244" s="68"/>
      <c r="D244" s="73"/>
      <c r="E244" s="76"/>
      <c r="F244" s="76"/>
      <c r="G244" s="51"/>
      <c r="H244" s="2" t="s">
        <v>523</v>
      </c>
      <c r="I244" s="9">
        <v>668</v>
      </c>
      <c r="J244" s="11">
        <v>5</v>
      </c>
      <c r="K244" s="11">
        <v>2</v>
      </c>
      <c r="L244" s="57" t="s">
        <v>494</v>
      </c>
      <c r="M244" s="58" t="s">
        <v>220</v>
      </c>
      <c r="N244" s="58" t="s">
        <v>221</v>
      </c>
      <c r="O244" s="58" t="s">
        <v>261</v>
      </c>
      <c r="P244" s="7"/>
      <c r="Q244" s="124">
        <f>Q247+Q245</f>
        <v>0</v>
      </c>
      <c r="R244" s="124">
        <f>R247+R245</f>
        <v>0</v>
      </c>
      <c r="S244" s="124">
        <f>S247+S245</f>
        <v>0</v>
      </c>
    </row>
    <row r="245" spans="1:19" ht="18.75" hidden="1">
      <c r="A245" s="59"/>
      <c r="B245" s="60"/>
      <c r="C245" s="76"/>
      <c r="D245" s="73"/>
      <c r="E245" s="76"/>
      <c r="F245" s="76"/>
      <c r="G245" s="51"/>
      <c r="H245" s="2" t="s">
        <v>60</v>
      </c>
      <c r="I245" s="9">
        <v>668</v>
      </c>
      <c r="J245" s="11">
        <v>5</v>
      </c>
      <c r="K245" s="11">
        <v>2</v>
      </c>
      <c r="L245" s="57" t="s">
        <v>494</v>
      </c>
      <c r="M245" s="58" t="s">
        <v>220</v>
      </c>
      <c r="N245" s="58" t="s">
        <v>221</v>
      </c>
      <c r="O245" s="58" t="s">
        <v>264</v>
      </c>
      <c r="P245" s="7"/>
      <c r="Q245" s="124">
        <f>Q246</f>
        <v>0</v>
      </c>
      <c r="R245" s="124">
        <f>R246</f>
        <v>0</v>
      </c>
      <c r="S245" s="124">
        <f>S246</f>
        <v>0</v>
      </c>
    </row>
    <row r="246" spans="1:19" ht="18.75" hidden="1">
      <c r="A246" s="59"/>
      <c r="B246" s="60"/>
      <c r="C246" s="76"/>
      <c r="D246" s="73"/>
      <c r="E246" s="76"/>
      <c r="F246" s="76"/>
      <c r="G246" s="51"/>
      <c r="H246" s="2" t="s">
        <v>299</v>
      </c>
      <c r="I246" s="9">
        <v>668</v>
      </c>
      <c r="J246" s="11">
        <v>5</v>
      </c>
      <c r="K246" s="11">
        <v>2</v>
      </c>
      <c r="L246" s="57" t="s">
        <v>494</v>
      </c>
      <c r="M246" s="58" t="s">
        <v>220</v>
      </c>
      <c r="N246" s="58" t="s">
        <v>221</v>
      </c>
      <c r="O246" s="58" t="s">
        <v>264</v>
      </c>
      <c r="P246" s="7">
        <v>240</v>
      </c>
      <c r="Q246" s="124">
        <f>60-60</f>
        <v>0</v>
      </c>
      <c r="R246" s="124">
        <v>0</v>
      </c>
      <c r="S246" s="124">
        <v>0</v>
      </c>
    </row>
    <row r="247" spans="1:19" ht="18.75" hidden="1">
      <c r="A247" s="59"/>
      <c r="B247" s="60"/>
      <c r="C247" s="76"/>
      <c r="D247" s="73"/>
      <c r="E247" s="76"/>
      <c r="F247" s="76"/>
      <c r="G247" s="51"/>
      <c r="H247" s="26" t="s">
        <v>462</v>
      </c>
      <c r="I247" s="9">
        <v>668</v>
      </c>
      <c r="J247" s="11">
        <v>5</v>
      </c>
      <c r="K247" s="11">
        <v>2</v>
      </c>
      <c r="L247" s="57" t="s">
        <v>494</v>
      </c>
      <c r="M247" s="58" t="s">
        <v>220</v>
      </c>
      <c r="N247" s="58" t="s">
        <v>221</v>
      </c>
      <c r="O247" s="58" t="s">
        <v>316</v>
      </c>
      <c r="P247" s="7"/>
      <c r="Q247" s="124">
        <f>Q248</f>
        <v>0</v>
      </c>
      <c r="R247" s="124">
        <f>R248</f>
        <v>0</v>
      </c>
      <c r="S247" s="124">
        <f>S248</f>
        <v>0</v>
      </c>
    </row>
    <row r="248" spans="1:19" ht="18.75" hidden="1">
      <c r="A248" s="61"/>
      <c r="B248" s="60"/>
      <c r="C248" s="59"/>
      <c r="D248" s="461">
        <v>5220000</v>
      </c>
      <c r="E248" s="462"/>
      <c r="F248" s="462"/>
      <c r="G248" s="51">
        <v>622</v>
      </c>
      <c r="H248" s="2" t="s">
        <v>299</v>
      </c>
      <c r="I248" s="9">
        <v>668</v>
      </c>
      <c r="J248" s="11">
        <v>5</v>
      </c>
      <c r="K248" s="11">
        <v>2</v>
      </c>
      <c r="L248" s="57" t="s">
        <v>494</v>
      </c>
      <c r="M248" s="58" t="s">
        <v>220</v>
      </c>
      <c r="N248" s="58" t="s">
        <v>221</v>
      </c>
      <c r="O248" s="58" t="s">
        <v>316</v>
      </c>
      <c r="P248" s="7">
        <v>240</v>
      </c>
      <c r="Q248" s="124">
        <f>1000+1703.9-509.8-1824.4-369.7</f>
        <v>0</v>
      </c>
      <c r="R248" s="124">
        <v>0</v>
      </c>
      <c r="S248" s="124">
        <v>0</v>
      </c>
    </row>
    <row r="249" spans="1:19" ht="31.5">
      <c r="A249" s="61"/>
      <c r="B249" s="60"/>
      <c r="C249" s="76"/>
      <c r="D249" s="69"/>
      <c r="E249" s="64"/>
      <c r="F249" s="64"/>
      <c r="G249" s="51"/>
      <c r="H249" s="2" t="s">
        <v>540</v>
      </c>
      <c r="I249" s="9">
        <v>668</v>
      </c>
      <c r="J249" s="11">
        <v>5</v>
      </c>
      <c r="K249" s="11">
        <v>2</v>
      </c>
      <c r="L249" s="57" t="s">
        <v>515</v>
      </c>
      <c r="M249" s="58" t="s">
        <v>220</v>
      </c>
      <c r="N249" s="58" t="s">
        <v>229</v>
      </c>
      <c r="O249" s="58" t="s">
        <v>261</v>
      </c>
      <c r="P249" s="7"/>
      <c r="Q249" s="124">
        <f>Q250+Q259+Q263+Q267+Q256+Q253+Q271</f>
        <v>9914.5</v>
      </c>
      <c r="R249" s="124">
        <f>R250+R259+R263+R267+R256+R253+R271</f>
        <v>3418</v>
      </c>
      <c r="S249" s="124">
        <f>S250+S259+S263+S267+S256+S253+S271</f>
        <v>3418</v>
      </c>
    </row>
    <row r="250" spans="1:19" ht="31.5">
      <c r="A250" s="61"/>
      <c r="B250" s="60"/>
      <c r="C250" s="76"/>
      <c r="D250" s="69"/>
      <c r="E250" s="64"/>
      <c r="F250" s="64"/>
      <c r="G250" s="51"/>
      <c r="H250" s="2" t="s">
        <v>541</v>
      </c>
      <c r="I250" s="9">
        <v>668</v>
      </c>
      <c r="J250" s="11">
        <v>5</v>
      </c>
      <c r="K250" s="11">
        <v>2</v>
      </c>
      <c r="L250" s="57" t="s">
        <v>515</v>
      </c>
      <c r="M250" s="58" t="s">
        <v>220</v>
      </c>
      <c r="N250" s="58" t="s">
        <v>236</v>
      </c>
      <c r="O250" s="58" t="s">
        <v>261</v>
      </c>
      <c r="P250" s="7"/>
      <c r="Q250" s="124">
        <f>Q251</f>
        <v>668.4999999999999</v>
      </c>
      <c r="R250" s="124">
        <f aca="true" t="shared" si="27" ref="Q250:S251">R251</f>
        <v>518</v>
      </c>
      <c r="S250" s="124">
        <f t="shared" si="27"/>
        <v>518</v>
      </c>
    </row>
    <row r="251" spans="1:19" ht="18.75">
      <c r="A251" s="61"/>
      <c r="B251" s="60"/>
      <c r="C251" s="76"/>
      <c r="D251" s="69"/>
      <c r="E251" s="64"/>
      <c r="F251" s="64"/>
      <c r="G251" s="51"/>
      <c r="H251" s="2" t="s">
        <v>542</v>
      </c>
      <c r="I251" s="9">
        <v>668</v>
      </c>
      <c r="J251" s="11">
        <v>5</v>
      </c>
      <c r="K251" s="11">
        <v>2</v>
      </c>
      <c r="L251" s="57" t="s">
        <v>515</v>
      </c>
      <c r="M251" s="58" t="s">
        <v>220</v>
      </c>
      <c r="N251" s="58" t="s">
        <v>236</v>
      </c>
      <c r="O251" s="58" t="s">
        <v>517</v>
      </c>
      <c r="P251" s="7"/>
      <c r="Q251" s="124">
        <f t="shared" si="27"/>
        <v>668.4999999999999</v>
      </c>
      <c r="R251" s="124">
        <f t="shared" si="27"/>
        <v>518</v>
      </c>
      <c r="S251" s="124">
        <f t="shared" si="27"/>
        <v>518</v>
      </c>
    </row>
    <row r="252" spans="1:19" ht="18.75">
      <c r="A252" s="61"/>
      <c r="B252" s="60"/>
      <c r="C252" s="76"/>
      <c r="D252" s="69"/>
      <c r="E252" s="64"/>
      <c r="F252" s="64"/>
      <c r="G252" s="51"/>
      <c r="H252" s="2" t="s">
        <v>299</v>
      </c>
      <c r="I252" s="9">
        <v>668</v>
      </c>
      <c r="J252" s="11">
        <v>5</v>
      </c>
      <c r="K252" s="11">
        <v>2</v>
      </c>
      <c r="L252" s="57" t="s">
        <v>515</v>
      </c>
      <c r="M252" s="58" t="s">
        <v>220</v>
      </c>
      <c r="N252" s="58" t="s">
        <v>236</v>
      </c>
      <c r="O252" s="58" t="s">
        <v>517</v>
      </c>
      <c r="P252" s="7">
        <v>240</v>
      </c>
      <c r="Q252" s="124">
        <f>518-6.3-25-55.5-21.6-35+150.5+35+55.5+1.7+4.3+25+21.6+0.3</f>
        <v>668.4999999999999</v>
      </c>
      <c r="R252" s="124">
        <v>518</v>
      </c>
      <c r="S252" s="124">
        <v>518</v>
      </c>
    </row>
    <row r="253" spans="1:19" ht="18.75">
      <c r="A253" s="61"/>
      <c r="B253" s="60"/>
      <c r="C253" s="76"/>
      <c r="D253" s="69"/>
      <c r="E253" s="64"/>
      <c r="F253" s="64"/>
      <c r="G253" s="51"/>
      <c r="H253" s="2" t="s">
        <v>1037</v>
      </c>
      <c r="I253" s="9">
        <v>668</v>
      </c>
      <c r="J253" s="11">
        <v>5</v>
      </c>
      <c r="K253" s="11">
        <v>2</v>
      </c>
      <c r="L253" s="57" t="s">
        <v>515</v>
      </c>
      <c r="M253" s="58" t="s">
        <v>220</v>
      </c>
      <c r="N253" s="58" t="s">
        <v>232</v>
      </c>
      <c r="O253" s="58" t="s">
        <v>261</v>
      </c>
      <c r="P253" s="7"/>
      <c r="Q253" s="124">
        <f aca="true" t="shared" si="28" ref="Q253:S254">Q254</f>
        <v>4201.8</v>
      </c>
      <c r="R253" s="124">
        <f t="shared" si="28"/>
        <v>0</v>
      </c>
      <c r="S253" s="124">
        <f t="shared" si="28"/>
        <v>0</v>
      </c>
    </row>
    <row r="254" spans="1:19" ht="18.75">
      <c r="A254" s="61"/>
      <c r="B254" s="60"/>
      <c r="C254" s="76"/>
      <c r="D254" s="69"/>
      <c r="E254" s="64"/>
      <c r="F254" s="64"/>
      <c r="G254" s="51"/>
      <c r="H254" s="398" t="s">
        <v>1081</v>
      </c>
      <c r="I254" s="9">
        <v>668</v>
      </c>
      <c r="J254" s="11">
        <v>5</v>
      </c>
      <c r="K254" s="11">
        <v>2</v>
      </c>
      <c r="L254" s="57" t="s">
        <v>515</v>
      </c>
      <c r="M254" s="58" t="s">
        <v>220</v>
      </c>
      <c r="N254" s="58" t="s">
        <v>232</v>
      </c>
      <c r="O254" s="58" t="s">
        <v>518</v>
      </c>
      <c r="P254" s="7"/>
      <c r="Q254" s="124">
        <f t="shared" si="28"/>
        <v>4201.8</v>
      </c>
      <c r="R254" s="124">
        <f t="shared" si="28"/>
        <v>0</v>
      </c>
      <c r="S254" s="124">
        <f t="shared" si="28"/>
        <v>0</v>
      </c>
    </row>
    <row r="255" spans="1:19" ht="18.75">
      <c r="A255" s="61"/>
      <c r="B255" s="60"/>
      <c r="C255" s="76"/>
      <c r="D255" s="69"/>
      <c r="E255" s="64"/>
      <c r="F255" s="64"/>
      <c r="G255" s="51"/>
      <c r="H255" s="2" t="s">
        <v>299</v>
      </c>
      <c r="I255" s="9">
        <v>668</v>
      </c>
      <c r="J255" s="11">
        <v>5</v>
      </c>
      <c r="K255" s="11">
        <v>2</v>
      </c>
      <c r="L255" s="57" t="s">
        <v>515</v>
      </c>
      <c r="M255" s="58" t="s">
        <v>220</v>
      </c>
      <c r="N255" s="58" t="s">
        <v>232</v>
      </c>
      <c r="O255" s="58" t="s">
        <v>518</v>
      </c>
      <c r="P255" s="7">
        <v>240</v>
      </c>
      <c r="Q255" s="124">
        <f>500.9+500.9+3200</f>
        <v>4201.8</v>
      </c>
      <c r="R255" s="124">
        <v>0</v>
      </c>
      <c r="S255" s="124">
        <v>0</v>
      </c>
    </row>
    <row r="256" spans="1:19" ht="18.75">
      <c r="A256" s="61"/>
      <c r="B256" s="60"/>
      <c r="C256" s="76"/>
      <c r="D256" s="69"/>
      <c r="E256" s="64"/>
      <c r="F256" s="64"/>
      <c r="G256" s="51"/>
      <c r="H256" s="2" t="s">
        <v>561</v>
      </c>
      <c r="I256" s="9">
        <v>668</v>
      </c>
      <c r="J256" s="11">
        <v>5</v>
      </c>
      <c r="K256" s="11">
        <v>2</v>
      </c>
      <c r="L256" s="57" t="s">
        <v>515</v>
      </c>
      <c r="M256" s="58" t="s">
        <v>220</v>
      </c>
      <c r="N256" s="58" t="s">
        <v>223</v>
      </c>
      <c r="O256" s="58" t="s">
        <v>261</v>
      </c>
      <c r="P256" s="7"/>
      <c r="Q256" s="124">
        <f aca="true" t="shared" si="29" ref="Q256:S257">Q257</f>
        <v>0</v>
      </c>
      <c r="R256" s="124">
        <f t="shared" si="29"/>
        <v>500</v>
      </c>
      <c r="S256" s="124">
        <f t="shared" si="29"/>
        <v>500</v>
      </c>
    </row>
    <row r="257" spans="1:19" ht="18.75">
      <c r="A257" s="61"/>
      <c r="B257" s="60"/>
      <c r="C257" s="76"/>
      <c r="D257" s="69"/>
      <c r="E257" s="64"/>
      <c r="F257" s="64"/>
      <c r="G257" s="51"/>
      <c r="H257" s="2" t="s">
        <v>562</v>
      </c>
      <c r="I257" s="9">
        <v>668</v>
      </c>
      <c r="J257" s="11">
        <v>5</v>
      </c>
      <c r="K257" s="11">
        <v>2</v>
      </c>
      <c r="L257" s="57" t="s">
        <v>515</v>
      </c>
      <c r="M257" s="58" t="s">
        <v>220</v>
      </c>
      <c r="N257" s="58" t="s">
        <v>223</v>
      </c>
      <c r="O257" s="58" t="s">
        <v>519</v>
      </c>
      <c r="P257" s="7"/>
      <c r="Q257" s="124">
        <f t="shared" si="29"/>
        <v>0</v>
      </c>
      <c r="R257" s="124">
        <f t="shared" si="29"/>
        <v>500</v>
      </c>
      <c r="S257" s="124">
        <f t="shared" si="29"/>
        <v>500</v>
      </c>
    </row>
    <row r="258" spans="1:19" ht="18.75">
      <c r="A258" s="61"/>
      <c r="B258" s="60"/>
      <c r="C258" s="76"/>
      <c r="D258" s="69"/>
      <c r="E258" s="64"/>
      <c r="F258" s="64"/>
      <c r="G258" s="51"/>
      <c r="H258" s="2" t="s">
        <v>299</v>
      </c>
      <c r="I258" s="9">
        <v>668</v>
      </c>
      <c r="J258" s="11">
        <v>5</v>
      </c>
      <c r="K258" s="11">
        <v>2</v>
      </c>
      <c r="L258" s="57" t="s">
        <v>515</v>
      </c>
      <c r="M258" s="58" t="s">
        <v>220</v>
      </c>
      <c r="N258" s="58" t="s">
        <v>223</v>
      </c>
      <c r="O258" s="58" t="s">
        <v>519</v>
      </c>
      <c r="P258" s="7">
        <v>240</v>
      </c>
      <c r="Q258" s="124">
        <f>1250-500.9-500.9+1001.8-15-1235</f>
        <v>0</v>
      </c>
      <c r="R258" s="124">
        <v>500</v>
      </c>
      <c r="S258" s="124">
        <v>500</v>
      </c>
    </row>
    <row r="259" spans="1:19" ht="47.25">
      <c r="A259" s="61"/>
      <c r="B259" s="60"/>
      <c r="C259" s="76"/>
      <c r="D259" s="69"/>
      <c r="E259" s="64"/>
      <c r="F259" s="64"/>
      <c r="G259" s="51"/>
      <c r="H259" s="2" t="s">
        <v>850</v>
      </c>
      <c r="I259" s="9">
        <v>668</v>
      </c>
      <c r="J259" s="11">
        <v>5</v>
      </c>
      <c r="K259" s="11">
        <v>2</v>
      </c>
      <c r="L259" s="57" t="s">
        <v>515</v>
      </c>
      <c r="M259" s="58" t="s">
        <v>220</v>
      </c>
      <c r="N259" s="58" t="s">
        <v>215</v>
      </c>
      <c r="O259" s="58" t="s">
        <v>261</v>
      </c>
      <c r="P259" s="7"/>
      <c r="Q259" s="124">
        <f>Q260</f>
        <v>1200</v>
      </c>
      <c r="R259" s="124">
        <f>R260</f>
        <v>2400</v>
      </c>
      <c r="S259" s="124">
        <f>S260</f>
        <v>2400</v>
      </c>
    </row>
    <row r="260" spans="1:19" ht="18.75">
      <c r="A260" s="61"/>
      <c r="B260" s="60"/>
      <c r="C260" s="76"/>
      <c r="D260" s="69"/>
      <c r="E260" s="64"/>
      <c r="F260" s="64"/>
      <c r="G260" s="51"/>
      <c r="H260" s="2" t="s">
        <v>543</v>
      </c>
      <c r="I260" s="9">
        <v>668</v>
      </c>
      <c r="J260" s="11">
        <v>5</v>
      </c>
      <c r="K260" s="11">
        <v>2</v>
      </c>
      <c r="L260" s="57" t="s">
        <v>515</v>
      </c>
      <c r="M260" s="58" t="s">
        <v>220</v>
      </c>
      <c r="N260" s="58" t="s">
        <v>215</v>
      </c>
      <c r="O260" s="58" t="s">
        <v>516</v>
      </c>
      <c r="P260" s="7"/>
      <c r="Q260" s="124">
        <f>Q261+Q262</f>
        <v>1200</v>
      </c>
      <c r="R260" s="124">
        <f>R261+R262</f>
        <v>2400</v>
      </c>
      <c r="S260" s="124">
        <f>S261+S262</f>
        <v>2400</v>
      </c>
    </row>
    <row r="261" spans="1:19" ht="18.75" hidden="1">
      <c r="A261" s="61"/>
      <c r="B261" s="60"/>
      <c r="C261" s="76"/>
      <c r="D261" s="69"/>
      <c r="E261" s="64"/>
      <c r="F261" s="64"/>
      <c r="G261" s="51"/>
      <c r="H261" s="2" t="s">
        <v>299</v>
      </c>
      <c r="I261" s="9">
        <v>668</v>
      </c>
      <c r="J261" s="11">
        <v>5</v>
      </c>
      <c r="K261" s="11">
        <v>2</v>
      </c>
      <c r="L261" s="57" t="s">
        <v>515</v>
      </c>
      <c r="M261" s="58" t="s">
        <v>220</v>
      </c>
      <c r="N261" s="58" t="s">
        <v>215</v>
      </c>
      <c r="O261" s="58" t="s">
        <v>516</v>
      </c>
      <c r="P261" s="7">
        <v>240</v>
      </c>
      <c r="Q261" s="124"/>
      <c r="R261" s="124"/>
      <c r="S261" s="124"/>
    </row>
    <row r="262" spans="1:19" ht="31.5">
      <c r="A262" s="61"/>
      <c r="B262" s="60"/>
      <c r="C262" s="76"/>
      <c r="D262" s="69"/>
      <c r="E262" s="64"/>
      <c r="F262" s="64"/>
      <c r="G262" s="51"/>
      <c r="H262" s="2" t="s">
        <v>359</v>
      </c>
      <c r="I262" s="9">
        <v>668</v>
      </c>
      <c r="J262" s="11">
        <v>5</v>
      </c>
      <c r="K262" s="11">
        <v>2</v>
      </c>
      <c r="L262" s="57" t="s">
        <v>515</v>
      </c>
      <c r="M262" s="58" t="s">
        <v>220</v>
      </c>
      <c r="N262" s="58" t="s">
        <v>215</v>
      </c>
      <c r="O262" s="58" t="s">
        <v>516</v>
      </c>
      <c r="P262" s="3">
        <v>810</v>
      </c>
      <c r="Q262" s="124">
        <f>2400-738.3-461.7</f>
        <v>1200</v>
      </c>
      <c r="R262" s="124">
        <v>2400</v>
      </c>
      <c r="S262" s="124">
        <v>2400</v>
      </c>
    </row>
    <row r="263" spans="1:19" ht="18.75">
      <c r="A263" s="61"/>
      <c r="B263" s="60"/>
      <c r="C263" s="76"/>
      <c r="D263" s="69"/>
      <c r="E263" s="64"/>
      <c r="F263" s="64"/>
      <c r="G263" s="51"/>
      <c r="H263" s="303" t="s">
        <v>944</v>
      </c>
      <c r="I263" s="9">
        <v>668</v>
      </c>
      <c r="J263" s="11">
        <v>5</v>
      </c>
      <c r="K263" s="11">
        <v>2</v>
      </c>
      <c r="L263" s="57" t="s">
        <v>515</v>
      </c>
      <c r="M263" s="58" t="s">
        <v>220</v>
      </c>
      <c r="N263" s="58" t="s">
        <v>240</v>
      </c>
      <c r="O263" s="58" t="s">
        <v>261</v>
      </c>
      <c r="P263" s="3"/>
      <c r="Q263" s="126">
        <f>Q264</f>
        <v>15</v>
      </c>
      <c r="R263" s="124">
        <v>0</v>
      </c>
      <c r="S263" s="124">
        <v>0</v>
      </c>
    </row>
    <row r="264" spans="1:19" ht="18.75">
      <c r="A264" s="61"/>
      <c r="B264" s="60"/>
      <c r="C264" s="76"/>
      <c r="D264" s="69"/>
      <c r="E264" s="64"/>
      <c r="F264" s="64"/>
      <c r="G264" s="51"/>
      <c r="H264" s="303" t="s">
        <v>922</v>
      </c>
      <c r="I264" s="9">
        <v>668</v>
      </c>
      <c r="J264" s="11">
        <v>5</v>
      </c>
      <c r="K264" s="11">
        <v>2</v>
      </c>
      <c r="L264" s="57" t="s">
        <v>515</v>
      </c>
      <c r="M264" s="58" t="s">
        <v>220</v>
      </c>
      <c r="N264" s="58" t="s">
        <v>240</v>
      </c>
      <c r="O264" s="58" t="s">
        <v>873</v>
      </c>
      <c r="P264" s="3"/>
      <c r="Q264" s="126">
        <f>Q266+Q265</f>
        <v>15</v>
      </c>
      <c r="R264" s="126">
        <f>R266+R265</f>
        <v>0</v>
      </c>
      <c r="S264" s="126">
        <f>S266+S265</f>
        <v>0</v>
      </c>
    </row>
    <row r="265" spans="1:19" ht="18.75">
      <c r="A265" s="61"/>
      <c r="B265" s="60"/>
      <c r="C265" s="76"/>
      <c r="D265" s="69"/>
      <c r="E265" s="64"/>
      <c r="F265" s="64"/>
      <c r="G265" s="51"/>
      <c r="H265" s="2" t="s">
        <v>299</v>
      </c>
      <c r="I265" s="9">
        <v>668</v>
      </c>
      <c r="J265" s="11">
        <v>5</v>
      </c>
      <c r="K265" s="11">
        <v>2</v>
      </c>
      <c r="L265" s="57" t="s">
        <v>515</v>
      </c>
      <c r="M265" s="58" t="s">
        <v>220</v>
      </c>
      <c r="N265" s="58" t="s">
        <v>240</v>
      </c>
      <c r="O265" s="58" t="s">
        <v>873</v>
      </c>
      <c r="P265" s="3">
        <v>240</v>
      </c>
      <c r="Q265" s="126">
        <v>15</v>
      </c>
      <c r="R265" s="124">
        <v>0</v>
      </c>
      <c r="S265" s="124">
        <v>0</v>
      </c>
    </row>
    <row r="266" spans="1:19" ht="18.75" hidden="1">
      <c r="A266" s="61"/>
      <c r="B266" s="60"/>
      <c r="C266" s="76"/>
      <c r="D266" s="69"/>
      <c r="E266" s="64"/>
      <c r="F266" s="64"/>
      <c r="G266" s="51"/>
      <c r="H266" s="2" t="s">
        <v>318</v>
      </c>
      <c r="I266" s="9">
        <v>668</v>
      </c>
      <c r="J266" s="11">
        <v>5</v>
      </c>
      <c r="K266" s="11">
        <v>2</v>
      </c>
      <c r="L266" s="57" t="s">
        <v>515</v>
      </c>
      <c r="M266" s="58" t="s">
        <v>220</v>
      </c>
      <c r="N266" s="58" t="s">
        <v>240</v>
      </c>
      <c r="O266" s="58" t="s">
        <v>873</v>
      </c>
      <c r="P266" s="3">
        <v>620</v>
      </c>
      <c r="Q266" s="126"/>
      <c r="R266" s="124"/>
      <c r="S266" s="124"/>
    </row>
    <row r="267" spans="1:19" ht="31.5">
      <c r="A267" s="61"/>
      <c r="B267" s="60"/>
      <c r="C267" s="76"/>
      <c r="D267" s="69"/>
      <c r="E267" s="64"/>
      <c r="F267" s="64"/>
      <c r="G267" s="51"/>
      <c r="H267" s="304" t="s">
        <v>950</v>
      </c>
      <c r="I267" s="9">
        <v>668</v>
      </c>
      <c r="J267" s="11">
        <v>5</v>
      </c>
      <c r="K267" s="11">
        <v>2</v>
      </c>
      <c r="L267" s="57" t="s">
        <v>515</v>
      </c>
      <c r="M267" s="58" t="s">
        <v>220</v>
      </c>
      <c r="N267" s="58" t="s">
        <v>243</v>
      </c>
      <c r="O267" s="58" t="s">
        <v>261</v>
      </c>
      <c r="P267" s="3"/>
      <c r="Q267" s="126">
        <f>Q268</f>
        <v>2992.5</v>
      </c>
      <c r="R267" s="126">
        <f>R268</f>
        <v>0</v>
      </c>
      <c r="S267" s="126">
        <f>S268</f>
        <v>0</v>
      </c>
    </row>
    <row r="268" spans="1:19" ht="18.75">
      <c r="A268" s="61"/>
      <c r="B268" s="60"/>
      <c r="C268" s="76"/>
      <c r="D268" s="69"/>
      <c r="E268" s="64"/>
      <c r="F268" s="64"/>
      <c r="G268" s="51"/>
      <c r="H268" s="305" t="s">
        <v>951</v>
      </c>
      <c r="I268" s="9">
        <v>668</v>
      </c>
      <c r="J268" s="11">
        <v>5</v>
      </c>
      <c r="K268" s="11">
        <v>2</v>
      </c>
      <c r="L268" s="57" t="s">
        <v>515</v>
      </c>
      <c r="M268" s="58" t="s">
        <v>220</v>
      </c>
      <c r="N268" s="58" t="s">
        <v>243</v>
      </c>
      <c r="O268" s="58" t="s">
        <v>949</v>
      </c>
      <c r="P268" s="3"/>
      <c r="Q268" s="126">
        <f>Q270+Q269</f>
        <v>2992.5</v>
      </c>
      <c r="R268" s="126">
        <f>R270+R269</f>
        <v>0</v>
      </c>
      <c r="S268" s="126">
        <f>S270+S269</f>
        <v>0</v>
      </c>
    </row>
    <row r="269" spans="1:19" ht="18.75" hidden="1">
      <c r="A269" s="61"/>
      <c r="B269" s="60"/>
      <c r="C269" s="76"/>
      <c r="D269" s="69"/>
      <c r="E269" s="64"/>
      <c r="F269" s="64"/>
      <c r="G269" s="51"/>
      <c r="H269" s="2" t="s">
        <v>299</v>
      </c>
      <c r="I269" s="9">
        <v>668</v>
      </c>
      <c r="J269" s="11">
        <v>5</v>
      </c>
      <c r="K269" s="11">
        <v>2</v>
      </c>
      <c r="L269" s="57" t="s">
        <v>515</v>
      </c>
      <c r="M269" s="58" t="s">
        <v>220</v>
      </c>
      <c r="N269" s="58" t="s">
        <v>243</v>
      </c>
      <c r="O269" s="58" t="s">
        <v>949</v>
      </c>
      <c r="P269" s="3">
        <v>620</v>
      </c>
      <c r="Q269" s="126"/>
      <c r="R269" s="124"/>
      <c r="S269" s="124"/>
    </row>
    <row r="270" spans="1:19" ht="31.5">
      <c r="A270" s="61"/>
      <c r="B270" s="60"/>
      <c r="C270" s="76"/>
      <c r="D270" s="69"/>
      <c r="E270" s="64"/>
      <c r="F270" s="64"/>
      <c r="G270" s="51"/>
      <c r="H270" s="2" t="s">
        <v>359</v>
      </c>
      <c r="I270" s="9">
        <v>668</v>
      </c>
      <c r="J270" s="11">
        <v>5</v>
      </c>
      <c r="K270" s="11">
        <v>2</v>
      </c>
      <c r="L270" s="57" t="s">
        <v>515</v>
      </c>
      <c r="M270" s="58" t="s">
        <v>220</v>
      </c>
      <c r="N270" s="58" t="s">
        <v>243</v>
      </c>
      <c r="O270" s="58" t="s">
        <v>949</v>
      </c>
      <c r="P270" s="3">
        <v>810</v>
      </c>
      <c r="Q270" s="126">
        <f>738.3+461.7+731+1061.5</f>
        <v>2992.5</v>
      </c>
      <c r="R270" s="124">
        <v>0</v>
      </c>
      <c r="S270" s="124">
        <v>0</v>
      </c>
    </row>
    <row r="271" spans="1:19" ht="18.75">
      <c r="A271" s="61"/>
      <c r="B271" s="60"/>
      <c r="C271" s="76"/>
      <c r="D271" s="69"/>
      <c r="E271" s="64"/>
      <c r="F271" s="64"/>
      <c r="G271" s="51"/>
      <c r="H271" s="2" t="s">
        <v>1073</v>
      </c>
      <c r="I271" s="9">
        <v>668</v>
      </c>
      <c r="J271" s="11">
        <v>5</v>
      </c>
      <c r="K271" s="11">
        <v>2</v>
      </c>
      <c r="L271" s="57" t="s">
        <v>515</v>
      </c>
      <c r="M271" s="58" t="s">
        <v>220</v>
      </c>
      <c r="N271" s="58" t="s">
        <v>241</v>
      </c>
      <c r="O271" s="58" t="s">
        <v>261</v>
      </c>
      <c r="P271" s="3"/>
      <c r="Q271" s="126">
        <f aca="true" t="shared" si="30" ref="Q271:S272">Q272</f>
        <v>836.7</v>
      </c>
      <c r="R271" s="126">
        <f t="shared" si="30"/>
        <v>0</v>
      </c>
      <c r="S271" s="126">
        <f t="shared" si="30"/>
        <v>0</v>
      </c>
    </row>
    <row r="272" spans="1:19" ht="31.5">
      <c r="A272" s="61"/>
      <c r="B272" s="60"/>
      <c r="C272" s="76"/>
      <c r="D272" s="69"/>
      <c r="E272" s="64"/>
      <c r="F272" s="64"/>
      <c r="G272" s="51"/>
      <c r="H272" s="2" t="s">
        <v>1074</v>
      </c>
      <c r="I272" s="9">
        <v>668</v>
      </c>
      <c r="J272" s="11">
        <v>5</v>
      </c>
      <c r="K272" s="11">
        <v>2</v>
      </c>
      <c r="L272" s="57" t="s">
        <v>515</v>
      </c>
      <c r="M272" s="58" t="s">
        <v>220</v>
      </c>
      <c r="N272" s="58" t="s">
        <v>241</v>
      </c>
      <c r="O272" s="58" t="s">
        <v>1072</v>
      </c>
      <c r="P272" s="3"/>
      <c r="Q272" s="126">
        <f t="shared" si="30"/>
        <v>836.7</v>
      </c>
      <c r="R272" s="126">
        <f t="shared" si="30"/>
        <v>0</v>
      </c>
      <c r="S272" s="126">
        <f t="shared" si="30"/>
        <v>0</v>
      </c>
    </row>
    <row r="273" spans="1:19" ht="18.75">
      <c r="A273" s="61"/>
      <c r="B273" s="60"/>
      <c r="C273" s="76"/>
      <c r="D273" s="69"/>
      <c r="E273" s="64"/>
      <c r="F273" s="64"/>
      <c r="G273" s="51"/>
      <c r="H273" s="2" t="s">
        <v>299</v>
      </c>
      <c r="I273" s="9">
        <v>668</v>
      </c>
      <c r="J273" s="11">
        <v>5</v>
      </c>
      <c r="K273" s="11">
        <v>2</v>
      </c>
      <c r="L273" s="57" t="s">
        <v>515</v>
      </c>
      <c r="M273" s="58" t="s">
        <v>220</v>
      </c>
      <c r="N273" s="58" t="s">
        <v>241</v>
      </c>
      <c r="O273" s="58" t="s">
        <v>1072</v>
      </c>
      <c r="P273" s="3">
        <v>240</v>
      </c>
      <c r="Q273" s="126">
        <f>820+16.7</f>
        <v>836.7</v>
      </c>
      <c r="R273" s="124">
        <v>0</v>
      </c>
      <c r="S273" s="124">
        <v>0</v>
      </c>
    </row>
    <row r="274" spans="1:19" s="113" customFormat="1" ht="19.5">
      <c r="A274" s="89"/>
      <c r="B274" s="90"/>
      <c r="C274" s="104"/>
      <c r="D274" s="128"/>
      <c r="E274" s="106"/>
      <c r="F274" s="106"/>
      <c r="G274" s="84"/>
      <c r="H274" s="222" t="s">
        <v>21</v>
      </c>
      <c r="I274" s="99">
        <v>668</v>
      </c>
      <c r="J274" s="86">
        <v>5</v>
      </c>
      <c r="K274" s="86">
        <v>3</v>
      </c>
      <c r="L274" s="87"/>
      <c r="M274" s="88"/>
      <c r="N274" s="88"/>
      <c r="O274" s="88"/>
      <c r="P274" s="85"/>
      <c r="Q274" s="123">
        <f>Q275+Q294+Q283+Q279</f>
        <v>0</v>
      </c>
      <c r="R274" s="123">
        <f>R275+R294+R283+R279</f>
        <v>10255.1</v>
      </c>
      <c r="S274" s="123">
        <f>S275+S294+S283+S279</f>
        <v>7883.900000000001</v>
      </c>
    </row>
    <row r="275" spans="1:19" ht="31.5" hidden="1">
      <c r="A275" s="72"/>
      <c r="B275" s="73"/>
      <c r="C275" s="68"/>
      <c r="D275" s="69"/>
      <c r="E275" s="66"/>
      <c r="F275" s="66"/>
      <c r="G275" s="51"/>
      <c r="H275" s="2" t="s">
        <v>546</v>
      </c>
      <c r="I275" s="9">
        <v>668</v>
      </c>
      <c r="J275" s="11">
        <v>5</v>
      </c>
      <c r="K275" s="11">
        <v>3</v>
      </c>
      <c r="L275" s="57" t="s">
        <v>241</v>
      </c>
      <c r="M275" s="58" t="s">
        <v>220</v>
      </c>
      <c r="N275" s="58" t="s">
        <v>229</v>
      </c>
      <c r="O275" s="58" t="s">
        <v>261</v>
      </c>
      <c r="P275" s="3"/>
      <c r="Q275" s="126">
        <f>Q276</f>
        <v>0</v>
      </c>
      <c r="R275" s="126">
        <f aca="true" t="shared" si="31" ref="R275:S277">R276</f>
        <v>0</v>
      </c>
      <c r="S275" s="126">
        <f t="shared" si="31"/>
        <v>0</v>
      </c>
    </row>
    <row r="276" spans="1:19" ht="31.5" hidden="1">
      <c r="A276" s="72"/>
      <c r="B276" s="74"/>
      <c r="C276" s="68"/>
      <c r="D276" s="71"/>
      <c r="E276" s="66"/>
      <c r="F276" s="66"/>
      <c r="G276" s="51"/>
      <c r="H276" s="108" t="s">
        <v>897</v>
      </c>
      <c r="I276" s="9">
        <v>668</v>
      </c>
      <c r="J276" s="11">
        <v>5</v>
      </c>
      <c r="K276" s="11">
        <v>3</v>
      </c>
      <c r="L276" s="57" t="s">
        <v>241</v>
      </c>
      <c r="M276" s="58" t="s">
        <v>220</v>
      </c>
      <c r="N276" s="58" t="s">
        <v>345</v>
      </c>
      <c r="O276" s="58" t="s">
        <v>261</v>
      </c>
      <c r="P276" s="3"/>
      <c r="Q276" s="126">
        <f>Q277</f>
        <v>0</v>
      </c>
      <c r="R276" s="126">
        <f t="shared" si="31"/>
        <v>0</v>
      </c>
      <c r="S276" s="126">
        <f t="shared" si="31"/>
        <v>0</v>
      </c>
    </row>
    <row r="277" spans="1:19" ht="18.75" hidden="1">
      <c r="A277" s="72"/>
      <c r="B277" s="74"/>
      <c r="C277" s="68"/>
      <c r="D277" s="71"/>
      <c r="E277" s="66"/>
      <c r="F277" s="66"/>
      <c r="G277" s="51"/>
      <c r="H277" s="108" t="s">
        <v>547</v>
      </c>
      <c r="I277" s="9">
        <v>668</v>
      </c>
      <c r="J277" s="11">
        <v>5</v>
      </c>
      <c r="K277" s="11">
        <v>3</v>
      </c>
      <c r="L277" s="57" t="s">
        <v>241</v>
      </c>
      <c r="M277" s="58" t="s">
        <v>220</v>
      </c>
      <c r="N277" s="58" t="s">
        <v>345</v>
      </c>
      <c r="O277" s="58" t="s">
        <v>346</v>
      </c>
      <c r="P277" s="7"/>
      <c r="Q277" s="124">
        <f>Q278</f>
        <v>0</v>
      </c>
      <c r="R277" s="124">
        <f t="shared" si="31"/>
        <v>0</v>
      </c>
      <c r="S277" s="124">
        <f t="shared" si="31"/>
        <v>0</v>
      </c>
    </row>
    <row r="278" spans="1:19" ht="18.75" hidden="1">
      <c r="A278" s="72"/>
      <c r="B278" s="74"/>
      <c r="C278" s="68"/>
      <c r="D278" s="71"/>
      <c r="E278" s="66"/>
      <c r="F278" s="66"/>
      <c r="G278" s="51"/>
      <c r="H278" s="2" t="s">
        <v>299</v>
      </c>
      <c r="I278" s="9">
        <v>668</v>
      </c>
      <c r="J278" s="11">
        <v>5</v>
      </c>
      <c r="K278" s="11">
        <v>3</v>
      </c>
      <c r="L278" s="57" t="s">
        <v>241</v>
      </c>
      <c r="M278" s="58" t="s">
        <v>220</v>
      </c>
      <c r="N278" s="58" t="s">
        <v>345</v>
      </c>
      <c r="O278" s="58" t="s">
        <v>346</v>
      </c>
      <c r="P278" s="7">
        <v>240</v>
      </c>
      <c r="Q278" s="124"/>
      <c r="R278" s="124"/>
      <c r="S278" s="124"/>
    </row>
    <row r="279" spans="1:19" ht="31.5" hidden="1">
      <c r="A279" s="72"/>
      <c r="B279" s="74"/>
      <c r="C279" s="68"/>
      <c r="D279" s="71"/>
      <c r="E279" s="66"/>
      <c r="F279" s="66"/>
      <c r="G279" s="51"/>
      <c r="H279" s="2" t="s">
        <v>522</v>
      </c>
      <c r="I279" s="9">
        <v>668</v>
      </c>
      <c r="J279" s="11">
        <v>5</v>
      </c>
      <c r="K279" s="11">
        <v>3</v>
      </c>
      <c r="L279" s="57" t="s">
        <v>494</v>
      </c>
      <c r="M279" s="58" t="s">
        <v>220</v>
      </c>
      <c r="N279" s="58" t="s">
        <v>229</v>
      </c>
      <c r="O279" s="58" t="s">
        <v>261</v>
      </c>
      <c r="P279" s="7"/>
      <c r="Q279" s="124">
        <f aca="true" t="shared" si="32" ref="Q279:S281">Q280</f>
        <v>0</v>
      </c>
      <c r="R279" s="124">
        <f t="shared" si="32"/>
        <v>0</v>
      </c>
      <c r="S279" s="124">
        <f t="shared" si="32"/>
        <v>0</v>
      </c>
    </row>
    <row r="280" spans="1:19" ht="31.5" hidden="1">
      <c r="A280" s="72"/>
      <c r="B280" s="74"/>
      <c r="C280" s="68"/>
      <c r="D280" s="71"/>
      <c r="E280" s="66"/>
      <c r="F280" s="66"/>
      <c r="G280" s="51"/>
      <c r="H280" s="2" t="s">
        <v>523</v>
      </c>
      <c r="I280" s="9">
        <v>668</v>
      </c>
      <c r="J280" s="11">
        <v>5</v>
      </c>
      <c r="K280" s="11">
        <v>3</v>
      </c>
      <c r="L280" s="57" t="s">
        <v>494</v>
      </c>
      <c r="M280" s="58" t="s">
        <v>220</v>
      </c>
      <c r="N280" s="58" t="s">
        <v>221</v>
      </c>
      <c r="O280" s="58" t="s">
        <v>261</v>
      </c>
      <c r="P280" s="7"/>
      <c r="Q280" s="124">
        <f>Q281</f>
        <v>0</v>
      </c>
      <c r="R280" s="124">
        <f>R281</f>
        <v>0</v>
      </c>
      <c r="S280" s="124">
        <f>S281</f>
        <v>0</v>
      </c>
    </row>
    <row r="281" spans="1:19" ht="18.75" hidden="1">
      <c r="A281" s="72"/>
      <c r="B281" s="74"/>
      <c r="C281" s="68"/>
      <c r="D281" s="71"/>
      <c r="E281" s="66"/>
      <c r="F281" s="66"/>
      <c r="G281" s="51"/>
      <c r="H281" s="26" t="s">
        <v>462</v>
      </c>
      <c r="I281" s="9">
        <v>668</v>
      </c>
      <c r="J281" s="11">
        <v>5</v>
      </c>
      <c r="K281" s="11">
        <v>3</v>
      </c>
      <c r="L281" s="57" t="s">
        <v>494</v>
      </c>
      <c r="M281" s="58" t="s">
        <v>220</v>
      </c>
      <c r="N281" s="58" t="s">
        <v>221</v>
      </c>
      <c r="O281" s="58" t="s">
        <v>316</v>
      </c>
      <c r="P281" s="7"/>
      <c r="Q281" s="124">
        <f t="shared" si="32"/>
        <v>0</v>
      </c>
      <c r="R281" s="124">
        <f t="shared" si="32"/>
        <v>0</v>
      </c>
      <c r="S281" s="124">
        <f t="shared" si="32"/>
        <v>0</v>
      </c>
    </row>
    <row r="282" spans="1:19" ht="18.75" hidden="1">
      <c r="A282" s="72"/>
      <c r="B282" s="74"/>
      <c r="C282" s="68"/>
      <c r="D282" s="71"/>
      <c r="E282" s="66"/>
      <c r="F282" s="66"/>
      <c r="G282" s="51"/>
      <c r="H282" s="2" t="s">
        <v>299</v>
      </c>
      <c r="I282" s="9">
        <v>668</v>
      </c>
      <c r="J282" s="11">
        <v>5</v>
      </c>
      <c r="K282" s="11">
        <v>3</v>
      </c>
      <c r="L282" s="57" t="s">
        <v>494</v>
      </c>
      <c r="M282" s="58" t="s">
        <v>220</v>
      </c>
      <c r="N282" s="58" t="s">
        <v>221</v>
      </c>
      <c r="O282" s="58" t="s">
        <v>316</v>
      </c>
      <c r="P282" s="7">
        <v>240</v>
      </c>
      <c r="Q282" s="124">
        <f>862.7+369.7-1232.4</f>
        <v>0</v>
      </c>
      <c r="R282" s="124">
        <v>0</v>
      </c>
      <c r="S282" s="124">
        <v>0</v>
      </c>
    </row>
    <row r="283" spans="1:19" ht="31.5">
      <c r="A283" s="72"/>
      <c r="B283" s="74"/>
      <c r="C283" s="68"/>
      <c r="D283" s="71"/>
      <c r="E283" s="66"/>
      <c r="F283" s="66"/>
      <c r="G283" s="51"/>
      <c r="H283" s="70" t="s">
        <v>567</v>
      </c>
      <c r="I283" s="9">
        <v>668</v>
      </c>
      <c r="J283" s="4">
        <v>5</v>
      </c>
      <c r="K283" s="11">
        <v>3</v>
      </c>
      <c r="L283" s="57" t="s">
        <v>507</v>
      </c>
      <c r="M283" s="58" t="s">
        <v>220</v>
      </c>
      <c r="N283" s="58" t="s">
        <v>229</v>
      </c>
      <c r="O283" s="58" t="s">
        <v>261</v>
      </c>
      <c r="P283" s="3"/>
      <c r="Q283" s="124">
        <f>Q289+Q284</f>
        <v>0</v>
      </c>
      <c r="R283" s="124">
        <f>R289+R284</f>
        <v>10255.1</v>
      </c>
      <c r="S283" s="124">
        <f>S289+S284</f>
        <v>7883.900000000001</v>
      </c>
    </row>
    <row r="284" spans="1:19" ht="18.75">
      <c r="A284" s="72"/>
      <c r="B284" s="74"/>
      <c r="C284" s="68"/>
      <c r="D284" s="71"/>
      <c r="E284" s="66"/>
      <c r="F284" s="66"/>
      <c r="G284" s="51"/>
      <c r="H284" s="70" t="s">
        <v>961</v>
      </c>
      <c r="I284" s="9">
        <v>668</v>
      </c>
      <c r="J284" s="4">
        <v>5</v>
      </c>
      <c r="K284" s="11">
        <v>3</v>
      </c>
      <c r="L284" s="57" t="s">
        <v>507</v>
      </c>
      <c r="M284" s="58" t="s">
        <v>220</v>
      </c>
      <c r="N284" s="58" t="s">
        <v>236</v>
      </c>
      <c r="O284" s="58" t="s">
        <v>261</v>
      </c>
      <c r="P284" s="3"/>
      <c r="Q284" s="124">
        <f>Q285+Q287</f>
        <v>0</v>
      </c>
      <c r="R284" s="124">
        <f>R285+R287</f>
        <v>7525.8</v>
      </c>
      <c r="S284" s="124">
        <f>S285+S287</f>
        <v>5154.6</v>
      </c>
    </row>
    <row r="285" spans="1:19" ht="18.75" hidden="1">
      <c r="A285" s="72"/>
      <c r="B285" s="74"/>
      <c r="C285" s="68"/>
      <c r="D285" s="71"/>
      <c r="E285" s="66"/>
      <c r="F285" s="66"/>
      <c r="G285" s="51"/>
      <c r="H285" s="70" t="s">
        <v>877</v>
      </c>
      <c r="I285" s="9">
        <v>668</v>
      </c>
      <c r="J285" s="4">
        <v>5</v>
      </c>
      <c r="K285" s="11">
        <v>3</v>
      </c>
      <c r="L285" s="57" t="s">
        <v>507</v>
      </c>
      <c r="M285" s="58" t="s">
        <v>220</v>
      </c>
      <c r="N285" s="58" t="s">
        <v>236</v>
      </c>
      <c r="O285" s="58" t="s">
        <v>873</v>
      </c>
      <c r="P285" s="3"/>
      <c r="Q285" s="124">
        <f>Q286</f>
        <v>0</v>
      </c>
      <c r="R285" s="124">
        <f>R286</f>
        <v>0</v>
      </c>
      <c r="S285" s="124">
        <f>S286</f>
        <v>0</v>
      </c>
    </row>
    <row r="286" spans="1:19" ht="18.75" hidden="1">
      <c r="A286" s="72"/>
      <c r="B286" s="74"/>
      <c r="C286" s="68"/>
      <c r="D286" s="71"/>
      <c r="E286" s="66"/>
      <c r="F286" s="66"/>
      <c r="G286" s="51"/>
      <c r="H286" s="2" t="s">
        <v>299</v>
      </c>
      <c r="I286" s="9">
        <v>668</v>
      </c>
      <c r="J286" s="4">
        <v>5</v>
      </c>
      <c r="K286" s="11">
        <v>3</v>
      </c>
      <c r="L286" s="57" t="s">
        <v>507</v>
      </c>
      <c r="M286" s="58" t="s">
        <v>220</v>
      </c>
      <c r="N286" s="58" t="s">
        <v>236</v>
      </c>
      <c r="O286" s="58" t="s">
        <v>873</v>
      </c>
      <c r="P286" s="3">
        <v>240</v>
      </c>
      <c r="Q286" s="124">
        <v>0</v>
      </c>
      <c r="R286" s="124">
        <v>0</v>
      </c>
      <c r="S286" s="124">
        <v>0</v>
      </c>
    </row>
    <row r="287" spans="1:19" ht="18.75">
      <c r="A287" s="72"/>
      <c r="B287" s="74"/>
      <c r="C287" s="68"/>
      <c r="D287" s="71"/>
      <c r="E287" s="66"/>
      <c r="F287" s="66"/>
      <c r="G287" s="51"/>
      <c r="H287" s="2" t="s">
        <v>1057</v>
      </c>
      <c r="I287" s="9">
        <v>668</v>
      </c>
      <c r="J287" s="4">
        <v>5</v>
      </c>
      <c r="K287" s="11">
        <v>3</v>
      </c>
      <c r="L287" s="57" t="s">
        <v>507</v>
      </c>
      <c r="M287" s="58" t="s">
        <v>220</v>
      </c>
      <c r="N287" s="58" t="s">
        <v>236</v>
      </c>
      <c r="O287" s="58" t="s">
        <v>1056</v>
      </c>
      <c r="P287" s="3"/>
      <c r="Q287" s="124">
        <f>Q288</f>
        <v>0</v>
      </c>
      <c r="R287" s="124">
        <f>R288</f>
        <v>7525.8</v>
      </c>
      <c r="S287" s="124">
        <f>S288</f>
        <v>5154.6</v>
      </c>
    </row>
    <row r="288" spans="1:19" ht="18.75">
      <c r="A288" s="72"/>
      <c r="B288" s="74"/>
      <c r="C288" s="68"/>
      <c r="D288" s="71"/>
      <c r="E288" s="66"/>
      <c r="F288" s="66"/>
      <c r="G288" s="51"/>
      <c r="H288" s="2" t="s">
        <v>299</v>
      </c>
      <c r="I288" s="9">
        <v>668</v>
      </c>
      <c r="J288" s="4">
        <v>5</v>
      </c>
      <c r="K288" s="11">
        <v>3</v>
      </c>
      <c r="L288" s="57" t="s">
        <v>507</v>
      </c>
      <c r="M288" s="58" t="s">
        <v>220</v>
      </c>
      <c r="N288" s="58" t="s">
        <v>236</v>
      </c>
      <c r="O288" s="58" t="s">
        <v>1056</v>
      </c>
      <c r="P288" s="3">
        <v>240</v>
      </c>
      <c r="Q288" s="124">
        <v>0</v>
      </c>
      <c r="R288" s="124">
        <f>7300+225.8</f>
        <v>7525.8</v>
      </c>
      <c r="S288" s="124">
        <f>5000+154.6</f>
        <v>5154.6</v>
      </c>
    </row>
    <row r="289" spans="1:19" ht="18.75">
      <c r="A289" s="72"/>
      <c r="B289" s="74"/>
      <c r="C289" s="68"/>
      <c r="D289" s="71"/>
      <c r="E289" s="66"/>
      <c r="F289" s="66"/>
      <c r="G289" s="51"/>
      <c r="H289" s="8" t="s">
        <v>1092</v>
      </c>
      <c r="I289" s="9">
        <v>668</v>
      </c>
      <c r="J289" s="4">
        <v>5</v>
      </c>
      <c r="K289" s="11">
        <v>3</v>
      </c>
      <c r="L289" s="57" t="s">
        <v>507</v>
      </c>
      <c r="M289" s="58" t="s">
        <v>220</v>
      </c>
      <c r="N289" s="58" t="s">
        <v>237</v>
      </c>
      <c r="O289" s="58" t="s">
        <v>261</v>
      </c>
      <c r="P289" s="3"/>
      <c r="Q289" s="124">
        <f>Q290+Q292</f>
        <v>0</v>
      </c>
      <c r="R289" s="124">
        <f>R290+R292</f>
        <v>2729.3</v>
      </c>
      <c r="S289" s="124">
        <f>S290+S292</f>
        <v>2729.3</v>
      </c>
    </row>
    <row r="290" spans="1:19" ht="18.75" hidden="1">
      <c r="A290" s="72"/>
      <c r="B290" s="74"/>
      <c r="C290" s="68"/>
      <c r="D290" s="71"/>
      <c r="E290" s="66"/>
      <c r="F290" s="66"/>
      <c r="G290" s="51"/>
      <c r="H290" s="70" t="s">
        <v>568</v>
      </c>
      <c r="I290" s="9">
        <v>668</v>
      </c>
      <c r="J290" s="4">
        <v>5</v>
      </c>
      <c r="K290" s="11">
        <v>3</v>
      </c>
      <c r="L290" s="57" t="s">
        <v>507</v>
      </c>
      <c r="M290" s="58" t="s">
        <v>220</v>
      </c>
      <c r="N290" s="58" t="s">
        <v>237</v>
      </c>
      <c r="O290" s="58" t="s">
        <v>508</v>
      </c>
      <c r="P290" s="3"/>
      <c r="Q290" s="124">
        <f>Q291</f>
        <v>0</v>
      </c>
      <c r="R290" s="124">
        <f>R291</f>
        <v>0</v>
      </c>
      <c r="S290" s="124">
        <f>S291</f>
        <v>0</v>
      </c>
    </row>
    <row r="291" spans="1:19" ht="18.75" hidden="1">
      <c r="A291" s="72"/>
      <c r="B291" s="74"/>
      <c r="C291" s="68"/>
      <c r="D291" s="71"/>
      <c r="E291" s="66"/>
      <c r="F291" s="66"/>
      <c r="G291" s="51"/>
      <c r="H291" s="2" t="s">
        <v>299</v>
      </c>
      <c r="I291" s="9">
        <v>668</v>
      </c>
      <c r="J291" s="4">
        <v>5</v>
      </c>
      <c r="K291" s="11">
        <v>3</v>
      </c>
      <c r="L291" s="57" t="s">
        <v>507</v>
      </c>
      <c r="M291" s="58" t="s">
        <v>220</v>
      </c>
      <c r="N291" s="58" t="s">
        <v>237</v>
      </c>
      <c r="O291" s="58" t="s">
        <v>508</v>
      </c>
      <c r="P291" s="3">
        <v>240</v>
      </c>
      <c r="Q291" s="124">
        <v>0</v>
      </c>
      <c r="R291" s="124">
        <v>0</v>
      </c>
      <c r="S291" s="124">
        <v>0</v>
      </c>
    </row>
    <row r="292" spans="1:19" ht="18.75">
      <c r="A292" s="72"/>
      <c r="B292" s="74"/>
      <c r="C292" s="68"/>
      <c r="D292" s="71"/>
      <c r="E292" s="66"/>
      <c r="F292" s="66"/>
      <c r="G292" s="51"/>
      <c r="H292" s="2" t="s">
        <v>1062</v>
      </c>
      <c r="I292" s="9">
        <v>668</v>
      </c>
      <c r="J292" s="4">
        <v>5</v>
      </c>
      <c r="K292" s="11">
        <v>3</v>
      </c>
      <c r="L292" s="57" t="s">
        <v>507</v>
      </c>
      <c r="M292" s="58" t="s">
        <v>220</v>
      </c>
      <c r="N292" s="58" t="s">
        <v>237</v>
      </c>
      <c r="O292" s="58" t="s">
        <v>1061</v>
      </c>
      <c r="P292" s="7"/>
      <c r="Q292" s="124">
        <f>Q293</f>
        <v>0</v>
      </c>
      <c r="R292" s="124">
        <f>R293</f>
        <v>2729.3</v>
      </c>
      <c r="S292" s="124">
        <f>S293</f>
        <v>2729.3</v>
      </c>
    </row>
    <row r="293" spans="1:19" ht="18.75">
      <c r="A293" s="72"/>
      <c r="B293" s="74"/>
      <c r="C293" s="68"/>
      <c r="D293" s="71"/>
      <c r="E293" s="66"/>
      <c r="F293" s="66"/>
      <c r="G293" s="51"/>
      <c r="H293" s="2" t="s">
        <v>299</v>
      </c>
      <c r="I293" s="9">
        <v>668</v>
      </c>
      <c r="J293" s="4">
        <v>5</v>
      </c>
      <c r="K293" s="11">
        <v>3</v>
      </c>
      <c r="L293" s="57" t="s">
        <v>507</v>
      </c>
      <c r="M293" s="58" t="s">
        <v>220</v>
      </c>
      <c r="N293" s="58" t="s">
        <v>237</v>
      </c>
      <c r="O293" s="58" t="s">
        <v>1061</v>
      </c>
      <c r="P293" s="7">
        <v>240</v>
      </c>
      <c r="Q293" s="124">
        <v>0</v>
      </c>
      <c r="R293" s="124">
        <f>2647.4+81.9</f>
        <v>2729.3</v>
      </c>
      <c r="S293" s="124">
        <f>2647.4+81.9</f>
        <v>2729.3</v>
      </c>
    </row>
    <row r="294" spans="1:19" ht="31.5" hidden="1">
      <c r="A294" s="72"/>
      <c r="B294" s="74"/>
      <c r="C294" s="68"/>
      <c r="D294" s="71"/>
      <c r="E294" s="66"/>
      <c r="F294" s="66"/>
      <c r="G294" s="51"/>
      <c r="H294" s="2" t="s">
        <v>852</v>
      </c>
      <c r="I294" s="9">
        <v>668</v>
      </c>
      <c r="J294" s="11">
        <v>5</v>
      </c>
      <c r="K294" s="11">
        <v>3</v>
      </c>
      <c r="L294" s="57" t="s">
        <v>859</v>
      </c>
      <c r="M294" s="58" t="s">
        <v>220</v>
      </c>
      <c r="N294" s="58" t="s">
        <v>229</v>
      </c>
      <c r="O294" s="58" t="s">
        <v>261</v>
      </c>
      <c r="P294" s="7"/>
      <c r="Q294" s="124">
        <f>Q295</f>
        <v>0</v>
      </c>
      <c r="R294" s="124">
        <v>0</v>
      </c>
      <c r="S294" s="124">
        <v>0</v>
      </c>
    </row>
    <row r="295" spans="1:19" ht="18.75" hidden="1">
      <c r="A295" s="72"/>
      <c r="B295" s="74"/>
      <c r="C295" s="68"/>
      <c r="D295" s="71"/>
      <c r="E295" s="66"/>
      <c r="F295" s="66"/>
      <c r="G295" s="51"/>
      <c r="H295" s="2" t="s">
        <v>854</v>
      </c>
      <c r="I295" s="9">
        <v>668</v>
      </c>
      <c r="J295" s="11">
        <v>5</v>
      </c>
      <c r="K295" s="11">
        <v>3</v>
      </c>
      <c r="L295" s="57" t="s">
        <v>859</v>
      </c>
      <c r="M295" s="58" t="s">
        <v>220</v>
      </c>
      <c r="N295" s="58" t="s">
        <v>236</v>
      </c>
      <c r="O295" s="58" t="s">
        <v>261</v>
      </c>
      <c r="P295" s="7"/>
      <c r="Q295" s="124">
        <f>Q296</f>
        <v>0</v>
      </c>
      <c r="R295" s="124">
        <v>0</v>
      </c>
      <c r="S295" s="124">
        <v>0</v>
      </c>
    </row>
    <row r="296" spans="1:19" ht="18.75" hidden="1">
      <c r="A296" s="72"/>
      <c r="B296" s="74"/>
      <c r="C296" s="68"/>
      <c r="D296" s="71"/>
      <c r="E296" s="66"/>
      <c r="F296" s="66"/>
      <c r="G296" s="51"/>
      <c r="H296" s="2" t="s">
        <v>856</v>
      </c>
      <c r="I296" s="9">
        <v>668</v>
      </c>
      <c r="J296" s="11">
        <v>5</v>
      </c>
      <c r="K296" s="11">
        <v>3</v>
      </c>
      <c r="L296" s="57" t="s">
        <v>859</v>
      </c>
      <c r="M296" s="58" t="s">
        <v>220</v>
      </c>
      <c r="N296" s="58" t="s">
        <v>236</v>
      </c>
      <c r="O296" s="58" t="s">
        <v>860</v>
      </c>
      <c r="P296" s="7"/>
      <c r="Q296" s="124">
        <f>Q297</f>
        <v>0</v>
      </c>
      <c r="R296" s="124">
        <v>0</v>
      </c>
      <c r="S296" s="124">
        <v>0</v>
      </c>
    </row>
    <row r="297" spans="1:19" ht="18.75" hidden="1">
      <c r="A297" s="72"/>
      <c r="B297" s="74"/>
      <c r="C297" s="68"/>
      <c r="D297" s="71"/>
      <c r="E297" s="66"/>
      <c r="F297" s="66"/>
      <c r="G297" s="51"/>
      <c r="H297" s="2" t="s">
        <v>299</v>
      </c>
      <c r="I297" s="9">
        <v>668</v>
      </c>
      <c r="J297" s="11">
        <v>5</v>
      </c>
      <c r="K297" s="11">
        <v>3</v>
      </c>
      <c r="L297" s="57" t="s">
        <v>859</v>
      </c>
      <c r="M297" s="58" t="s">
        <v>220</v>
      </c>
      <c r="N297" s="58" t="s">
        <v>236</v>
      </c>
      <c r="O297" s="58" t="s">
        <v>860</v>
      </c>
      <c r="P297" s="7">
        <v>240</v>
      </c>
      <c r="Q297" s="124"/>
      <c r="R297" s="124"/>
      <c r="S297" s="124"/>
    </row>
    <row r="298" spans="1:19" s="113" customFormat="1" ht="19.5">
      <c r="A298" s="89"/>
      <c r="B298" s="90"/>
      <c r="C298" s="104"/>
      <c r="D298" s="128"/>
      <c r="E298" s="106"/>
      <c r="F298" s="106"/>
      <c r="G298" s="84"/>
      <c r="H298" s="354" t="s">
        <v>263</v>
      </c>
      <c r="I298" s="251">
        <v>668</v>
      </c>
      <c r="J298" s="86">
        <v>5</v>
      </c>
      <c r="K298" s="86">
        <v>5</v>
      </c>
      <c r="L298" s="87"/>
      <c r="M298" s="88"/>
      <c r="N298" s="88"/>
      <c r="O298" s="88"/>
      <c r="P298" s="85"/>
      <c r="Q298" s="123">
        <f>Q299+Q303+Q309</f>
        <v>780</v>
      </c>
      <c r="R298" s="123">
        <f>R299+R303+R309</f>
        <v>1580</v>
      </c>
      <c r="S298" s="123">
        <f>S299+S303+S309</f>
        <v>180</v>
      </c>
    </row>
    <row r="299" spans="1:19" ht="31.5">
      <c r="A299" s="59"/>
      <c r="B299" s="60"/>
      <c r="C299" s="68"/>
      <c r="D299" s="73"/>
      <c r="E299" s="76"/>
      <c r="F299" s="76"/>
      <c r="G299" s="51"/>
      <c r="H299" s="2" t="s">
        <v>522</v>
      </c>
      <c r="I299" s="9">
        <v>668</v>
      </c>
      <c r="J299" s="11">
        <v>5</v>
      </c>
      <c r="K299" s="11">
        <v>5</v>
      </c>
      <c r="L299" s="57" t="s">
        <v>494</v>
      </c>
      <c r="M299" s="58" t="s">
        <v>220</v>
      </c>
      <c r="N299" s="58" t="s">
        <v>229</v>
      </c>
      <c r="O299" s="58" t="s">
        <v>261</v>
      </c>
      <c r="P299" s="7"/>
      <c r="Q299" s="124">
        <f>Q300</f>
        <v>180</v>
      </c>
      <c r="R299" s="124">
        <f aca="true" t="shared" si="33" ref="R299:S301">R300</f>
        <v>180</v>
      </c>
      <c r="S299" s="124">
        <f t="shared" si="33"/>
        <v>180</v>
      </c>
    </row>
    <row r="300" spans="1:19" ht="31.5">
      <c r="A300" s="59"/>
      <c r="B300" s="60"/>
      <c r="C300" s="68"/>
      <c r="D300" s="73"/>
      <c r="E300" s="76"/>
      <c r="F300" s="76"/>
      <c r="G300" s="51"/>
      <c r="H300" s="2" t="s">
        <v>523</v>
      </c>
      <c r="I300" s="9">
        <v>668</v>
      </c>
      <c r="J300" s="11">
        <v>5</v>
      </c>
      <c r="K300" s="11">
        <v>5</v>
      </c>
      <c r="L300" s="57" t="s">
        <v>494</v>
      </c>
      <c r="M300" s="58" t="s">
        <v>220</v>
      </c>
      <c r="N300" s="58" t="s">
        <v>221</v>
      </c>
      <c r="O300" s="58" t="s">
        <v>261</v>
      </c>
      <c r="P300" s="7"/>
      <c r="Q300" s="124">
        <f>Q301</f>
        <v>180</v>
      </c>
      <c r="R300" s="124">
        <f t="shared" si="33"/>
        <v>180</v>
      </c>
      <c r="S300" s="124">
        <f t="shared" si="33"/>
        <v>180</v>
      </c>
    </row>
    <row r="301" spans="1:19" ht="18.75">
      <c r="A301" s="59"/>
      <c r="B301" s="60"/>
      <c r="C301" s="68"/>
      <c r="D301" s="73"/>
      <c r="E301" s="76"/>
      <c r="F301" s="76"/>
      <c r="G301" s="51"/>
      <c r="H301" s="2" t="s">
        <v>548</v>
      </c>
      <c r="I301" s="9">
        <v>668</v>
      </c>
      <c r="J301" s="11">
        <v>5</v>
      </c>
      <c r="K301" s="11">
        <v>5</v>
      </c>
      <c r="L301" s="57" t="s">
        <v>494</v>
      </c>
      <c r="M301" s="58" t="s">
        <v>220</v>
      </c>
      <c r="N301" s="58" t="s">
        <v>221</v>
      </c>
      <c r="O301" s="58" t="s">
        <v>70</v>
      </c>
      <c r="P301" s="7"/>
      <c r="Q301" s="124">
        <f>Q302</f>
        <v>180</v>
      </c>
      <c r="R301" s="124">
        <f t="shared" si="33"/>
        <v>180</v>
      </c>
      <c r="S301" s="124">
        <f t="shared" si="33"/>
        <v>180</v>
      </c>
    </row>
    <row r="302" spans="1:19" ht="18.75">
      <c r="A302" s="59"/>
      <c r="B302" s="60"/>
      <c r="C302" s="68"/>
      <c r="D302" s="73"/>
      <c r="E302" s="76"/>
      <c r="F302" s="76"/>
      <c r="G302" s="51"/>
      <c r="H302" s="2" t="s">
        <v>299</v>
      </c>
      <c r="I302" s="9">
        <v>668</v>
      </c>
      <c r="J302" s="11">
        <v>5</v>
      </c>
      <c r="K302" s="11">
        <v>5</v>
      </c>
      <c r="L302" s="57" t="s">
        <v>494</v>
      </c>
      <c r="M302" s="58" t="s">
        <v>220</v>
      </c>
      <c r="N302" s="58" t="s">
        <v>221</v>
      </c>
      <c r="O302" s="58" t="s">
        <v>70</v>
      </c>
      <c r="P302" s="7">
        <v>240</v>
      </c>
      <c r="Q302" s="124">
        <v>180</v>
      </c>
      <c r="R302" s="130">
        <v>180</v>
      </c>
      <c r="S302" s="130">
        <v>180</v>
      </c>
    </row>
    <row r="303" spans="1:19" ht="31.5" hidden="1">
      <c r="A303" s="59"/>
      <c r="B303" s="60"/>
      <c r="C303" s="76"/>
      <c r="D303" s="73"/>
      <c r="E303" s="76"/>
      <c r="F303" s="76"/>
      <c r="G303" s="51"/>
      <c r="H303" s="2" t="s">
        <v>540</v>
      </c>
      <c r="I303" s="9">
        <v>668</v>
      </c>
      <c r="J303" s="11">
        <v>5</v>
      </c>
      <c r="K303" s="11">
        <v>5</v>
      </c>
      <c r="L303" s="57" t="s">
        <v>515</v>
      </c>
      <c r="M303" s="58" t="s">
        <v>220</v>
      </c>
      <c r="N303" s="58" t="s">
        <v>229</v>
      </c>
      <c r="O303" s="58" t="s">
        <v>261</v>
      </c>
      <c r="P303" s="7"/>
      <c r="Q303" s="124">
        <f>Q304</f>
        <v>0</v>
      </c>
      <c r="R303" s="130">
        <v>0</v>
      </c>
      <c r="S303" s="130">
        <v>0</v>
      </c>
    </row>
    <row r="304" spans="1:19" ht="47.25" hidden="1">
      <c r="A304" s="59"/>
      <c r="B304" s="60"/>
      <c r="C304" s="76"/>
      <c r="D304" s="73"/>
      <c r="E304" s="76"/>
      <c r="F304" s="76"/>
      <c r="G304" s="51"/>
      <c r="H304" s="2" t="s">
        <v>891</v>
      </c>
      <c r="I304" s="9">
        <v>668</v>
      </c>
      <c r="J304" s="11">
        <v>5</v>
      </c>
      <c r="K304" s="11">
        <v>5</v>
      </c>
      <c r="L304" s="57" t="s">
        <v>515</v>
      </c>
      <c r="M304" s="58" t="s">
        <v>220</v>
      </c>
      <c r="N304" s="58" t="s">
        <v>221</v>
      </c>
      <c r="O304" s="58" t="s">
        <v>261</v>
      </c>
      <c r="P304" s="7"/>
      <c r="Q304" s="124">
        <f>Q305</f>
        <v>0</v>
      </c>
      <c r="R304" s="130">
        <v>0</v>
      </c>
      <c r="S304" s="130">
        <v>0</v>
      </c>
    </row>
    <row r="305" spans="1:19" ht="31.5" hidden="1">
      <c r="A305" s="59"/>
      <c r="B305" s="60"/>
      <c r="C305" s="76"/>
      <c r="D305" s="73"/>
      <c r="E305" s="76"/>
      <c r="F305" s="76"/>
      <c r="G305" s="51"/>
      <c r="H305" s="2" t="s">
        <v>572</v>
      </c>
      <c r="I305" s="9">
        <v>668</v>
      </c>
      <c r="J305" s="11">
        <v>5</v>
      </c>
      <c r="K305" s="11">
        <v>5</v>
      </c>
      <c r="L305" s="57" t="s">
        <v>515</v>
      </c>
      <c r="M305" s="58" t="s">
        <v>220</v>
      </c>
      <c r="N305" s="58" t="s">
        <v>221</v>
      </c>
      <c r="O305" s="58" t="s">
        <v>10</v>
      </c>
      <c r="P305" s="7"/>
      <c r="Q305" s="124">
        <f>Q307+Q306</f>
        <v>0</v>
      </c>
      <c r="R305" s="130">
        <v>0</v>
      </c>
      <c r="S305" s="130">
        <v>0</v>
      </c>
    </row>
    <row r="306" spans="1:19" ht="18.75" hidden="1">
      <c r="A306" s="59"/>
      <c r="B306" s="60"/>
      <c r="C306" s="76"/>
      <c r="D306" s="73"/>
      <c r="E306" s="76"/>
      <c r="F306" s="76"/>
      <c r="G306" s="51"/>
      <c r="H306" s="2" t="s">
        <v>299</v>
      </c>
      <c r="I306" s="9">
        <v>668</v>
      </c>
      <c r="J306" s="11">
        <v>5</v>
      </c>
      <c r="K306" s="11">
        <v>5</v>
      </c>
      <c r="L306" s="57" t="s">
        <v>515</v>
      </c>
      <c r="M306" s="58" t="s">
        <v>220</v>
      </c>
      <c r="N306" s="58" t="s">
        <v>221</v>
      </c>
      <c r="O306" s="58" t="s">
        <v>10</v>
      </c>
      <c r="P306" s="7">
        <v>240</v>
      </c>
      <c r="Q306" s="124"/>
      <c r="R306" s="130"/>
      <c r="S306" s="130"/>
    </row>
    <row r="307" spans="1:19" ht="18.75" hidden="1">
      <c r="A307" s="59"/>
      <c r="B307" s="60"/>
      <c r="C307" s="76"/>
      <c r="D307" s="73"/>
      <c r="E307" s="76"/>
      <c r="F307" s="76"/>
      <c r="G307" s="51"/>
      <c r="H307" s="2" t="s">
        <v>300</v>
      </c>
      <c r="I307" s="9">
        <v>668</v>
      </c>
      <c r="J307" s="11">
        <v>5</v>
      </c>
      <c r="K307" s="11">
        <v>5</v>
      </c>
      <c r="L307" s="57" t="s">
        <v>515</v>
      </c>
      <c r="M307" s="58" t="s">
        <v>220</v>
      </c>
      <c r="N307" s="58" t="s">
        <v>221</v>
      </c>
      <c r="O307" s="58" t="s">
        <v>10</v>
      </c>
      <c r="P307" s="7">
        <v>850</v>
      </c>
      <c r="Q307" s="124"/>
      <c r="R307" s="130"/>
      <c r="S307" s="130"/>
    </row>
    <row r="308" spans="1:19" ht="31.5">
      <c r="A308" s="59"/>
      <c r="B308" s="60"/>
      <c r="C308" s="76"/>
      <c r="D308" s="73"/>
      <c r="E308" s="76"/>
      <c r="F308" s="76"/>
      <c r="G308" s="51"/>
      <c r="H308" s="2" t="s">
        <v>1099</v>
      </c>
      <c r="I308" s="9">
        <v>668</v>
      </c>
      <c r="J308" s="11">
        <v>5</v>
      </c>
      <c r="K308" s="11">
        <v>5</v>
      </c>
      <c r="L308" s="57" t="s">
        <v>507</v>
      </c>
      <c r="M308" s="58" t="s">
        <v>220</v>
      </c>
      <c r="N308" s="58" t="s">
        <v>229</v>
      </c>
      <c r="O308" s="58" t="s">
        <v>261</v>
      </c>
      <c r="P308" s="7"/>
      <c r="Q308" s="124">
        <f aca="true" t="shared" si="34" ref="Q308:S310">Q309</f>
        <v>600</v>
      </c>
      <c r="R308" s="124">
        <f t="shared" si="34"/>
        <v>1400</v>
      </c>
      <c r="S308" s="124">
        <f t="shared" si="34"/>
        <v>0</v>
      </c>
    </row>
    <row r="309" spans="1:19" ht="18.75">
      <c r="A309" s="59"/>
      <c r="B309" s="60"/>
      <c r="C309" s="76"/>
      <c r="D309" s="73"/>
      <c r="E309" s="76"/>
      <c r="F309" s="76"/>
      <c r="G309" s="51"/>
      <c r="H309" s="2" t="s">
        <v>1098</v>
      </c>
      <c r="I309" s="9">
        <v>668</v>
      </c>
      <c r="J309" s="11">
        <v>5</v>
      </c>
      <c r="K309" s="11">
        <v>5</v>
      </c>
      <c r="L309" s="57" t="s">
        <v>507</v>
      </c>
      <c r="M309" s="58" t="s">
        <v>220</v>
      </c>
      <c r="N309" s="58" t="s">
        <v>239</v>
      </c>
      <c r="O309" s="58" t="s">
        <v>261</v>
      </c>
      <c r="P309" s="7"/>
      <c r="Q309" s="124">
        <f t="shared" si="34"/>
        <v>600</v>
      </c>
      <c r="R309" s="124">
        <f t="shared" si="34"/>
        <v>1400</v>
      </c>
      <c r="S309" s="124">
        <f t="shared" si="34"/>
        <v>0</v>
      </c>
    </row>
    <row r="310" spans="1:19" ht="18.75">
      <c r="A310" s="59"/>
      <c r="B310" s="60"/>
      <c r="C310" s="76"/>
      <c r="D310" s="73"/>
      <c r="E310" s="76"/>
      <c r="F310" s="76"/>
      <c r="G310" s="51"/>
      <c r="H310" s="2" t="s">
        <v>1097</v>
      </c>
      <c r="I310" s="9">
        <v>668</v>
      </c>
      <c r="J310" s="11">
        <v>5</v>
      </c>
      <c r="K310" s="11">
        <v>5</v>
      </c>
      <c r="L310" s="57" t="s">
        <v>507</v>
      </c>
      <c r="M310" s="58" t="s">
        <v>220</v>
      </c>
      <c r="N310" s="58" t="s">
        <v>239</v>
      </c>
      <c r="O310" s="58" t="s">
        <v>1096</v>
      </c>
      <c r="P310" s="7"/>
      <c r="Q310" s="124">
        <f t="shared" si="34"/>
        <v>600</v>
      </c>
      <c r="R310" s="124">
        <f t="shared" si="34"/>
        <v>1400</v>
      </c>
      <c r="S310" s="124">
        <f t="shared" si="34"/>
        <v>0</v>
      </c>
    </row>
    <row r="311" spans="1:19" ht="18.75">
      <c r="A311" s="59"/>
      <c r="B311" s="60"/>
      <c r="C311" s="76"/>
      <c r="D311" s="73"/>
      <c r="E311" s="76"/>
      <c r="F311" s="76"/>
      <c r="G311" s="51"/>
      <c r="H311" s="2" t="s">
        <v>299</v>
      </c>
      <c r="I311" s="9">
        <v>668</v>
      </c>
      <c r="J311" s="11">
        <v>5</v>
      </c>
      <c r="K311" s="11">
        <v>5</v>
      </c>
      <c r="L311" s="57" t="s">
        <v>507</v>
      </c>
      <c r="M311" s="58" t="s">
        <v>220</v>
      </c>
      <c r="N311" s="58" t="s">
        <v>239</v>
      </c>
      <c r="O311" s="58" t="s">
        <v>1096</v>
      </c>
      <c r="P311" s="7">
        <v>240</v>
      </c>
      <c r="Q311" s="124">
        <v>600</v>
      </c>
      <c r="R311" s="130">
        <v>1400</v>
      </c>
      <c r="S311" s="130">
        <v>0</v>
      </c>
    </row>
    <row r="312" spans="1:19" s="113" customFormat="1" ht="19.5">
      <c r="A312" s="89"/>
      <c r="B312" s="90"/>
      <c r="C312" s="106"/>
      <c r="D312" s="128"/>
      <c r="E312" s="106"/>
      <c r="F312" s="106"/>
      <c r="G312" s="84"/>
      <c r="H312" s="227" t="s">
        <v>245</v>
      </c>
      <c r="I312" s="251">
        <v>668</v>
      </c>
      <c r="J312" s="86">
        <v>6</v>
      </c>
      <c r="K312" s="86" t="s">
        <v>262</v>
      </c>
      <c r="L312" s="87"/>
      <c r="M312" s="88"/>
      <c r="N312" s="88"/>
      <c r="O312" s="88"/>
      <c r="P312" s="85"/>
      <c r="Q312" s="123">
        <f>Q313+Q320+Q325</f>
        <v>149106.29999999996</v>
      </c>
      <c r="R312" s="123">
        <f>R313+R320+R325</f>
        <v>428.7</v>
      </c>
      <c r="S312" s="123">
        <f>S313+S320+S325</f>
        <v>428.29999999999995</v>
      </c>
    </row>
    <row r="313" spans="1:19" s="113" customFormat="1" ht="19.5">
      <c r="A313" s="89"/>
      <c r="B313" s="90"/>
      <c r="C313" s="106"/>
      <c r="D313" s="128"/>
      <c r="E313" s="106"/>
      <c r="F313" s="106"/>
      <c r="G313" s="84"/>
      <c r="H313" s="227" t="s">
        <v>867</v>
      </c>
      <c r="I313" s="251">
        <v>668</v>
      </c>
      <c r="J313" s="86">
        <v>6</v>
      </c>
      <c r="K313" s="86">
        <v>2</v>
      </c>
      <c r="L313" s="87"/>
      <c r="M313" s="88"/>
      <c r="N313" s="88"/>
      <c r="O313" s="88"/>
      <c r="P313" s="85"/>
      <c r="Q313" s="123">
        <f>Q317+Q319</f>
        <v>148677.59999999998</v>
      </c>
      <c r="R313" s="123">
        <f>R317+R319</f>
        <v>0</v>
      </c>
      <c r="S313" s="123">
        <f>S317+S319</f>
        <v>0</v>
      </c>
    </row>
    <row r="314" spans="1:19" s="113" customFormat="1" ht="31.5">
      <c r="A314" s="89"/>
      <c r="B314" s="90"/>
      <c r="C314" s="106"/>
      <c r="D314" s="128"/>
      <c r="E314" s="106"/>
      <c r="F314" s="106"/>
      <c r="G314" s="84"/>
      <c r="H314" s="129" t="s">
        <v>544</v>
      </c>
      <c r="I314" s="9">
        <v>668</v>
      </c>
      <c r="J314" s="11">
        <v>6</v>
      </c>
      <c r="K314" s="11">
        <v>2</v>
      </c>
      <c r="L314" s="57" t="s">
        <v>239</v>
      </c>
      <c r="M314" s="58" t="s">
        <v>220</v>
      </c>
      <c r="N314" s="58" t="s">
        <v>229</v>
      </c>
      <c r="O314" s="58" t="s">
        <v>261</v>
      </c>
      <c r="P314" s="7"/>
      <c r="Q314" s="124">
        <f>Q315</f>
        <v>148677.59999999998</v>
      </c>
      <c r="R314" s="124">
        <f aca="true" t="shared" si="35" ref="R314:S316">R315</f>
        <v>0</v>
      </c>
      <c r="S314" s="124">
        <f t="shared" si="35"/>
        <v>0</v>
      </c>
    </row>
    <row r="315" spans="1:19" s="113" customFormat="1" ht="31.5">
      <c r="A315" s="89"/>
      <c r="B315" s="90"/>
      <c r="C315" s="106"/>
      <c r="D315" s="128"/>
      <c r="E315" s="106"/>
      <c r="F315" s="106"/>
      <c r="G315" s="84"/>
      <c r="H315" s="129" t="s">
        <v>41</v>
      </c>
      <c r="I315" s="9">
        <v>668</v>
      </c>
      <c r="J315" s="11">
        <v>6</v>
      </c>
      <c r="K315" s="11">
        <v>2</v>
      </c>
      <c r="L315" s="57" t="s">
        <v>239</v>
      </c>
      <c r="M315" s="58" t="s">
        <v>220</v>
      </c>
      <c r="N315" s="58" t="s">
        <v>236</v>
      </c>
      <c r="O315" s="58" t="s">
        <v>261</v>
      </c>
      <c r="P315" s="7"/>
      <c r="Q315" s="124">
        <f>Q316+Q318</f>
        <v>148677.59999999998</v>
      </c>
      <c r="R315" s="124">
        <f t="shared" si="35"/>
        <v>0</v>
      </c>
      <c r="S315" s="124">
        <f t="shared" si="35"/>
        <v>0</v>
      </c>
    </row>
    <row r="316" spans="1:19" s="113" customFormat="1" ht="18.75">
      <c r="A316" s="89"/>
      <c r="B316" s="90"/>
      <c r="C316" s="106"/>
      <c r="D316" s="128"/>
      <c r="E316" s="106"/>
      <c r="F316" s="106"/>
      <c r="G316" s="84"/>
      <c r="H316" s="129" t="s">
        <v>545</v>
      </c>
      <c r="I316" s="9">
        <v>668</v>
      </c>
      <c r="J316" s="11">
        <v>6</v>
      </c>
      <c r="K316" s="11">
        <v>2</v>
      </c>
      <c r="L316" s="57" t="s">
        <v>239</v>
      </c>
      <c r="M316" s="58" t="s">
        <v>220</v>
      </c>
      <c r="N316" s="58" t="s">
        <v>236</v>
      </c>
      <c r="O316" s="58" t="s">
        <v>510</v>
      </c>
      <c r="P316" s="7"/>
      <c r="Q316" s="124">
        <f>Q317</f>
        <v>141038.8</v>
      </c>
      <c r="R316" s="124">
        <f t="shared" si="35"/>
        <v>0</v>
      </c>
      <c r="S316" s="124">
        <f t="shared" si="35"/>
        <v>0</v>
      </c>
    </row>
    <row r="317" spans="1:19" s="113" customFormat="1" ht="18.75">
      <c r="A317" s="89"/>
      <c r="B317" s="90"/>
      <c r="C317" s="106"/>
      <c r="D317" s="128"/>
      <c r="E317" s="106"/>
      <c r="F317" s="106"/>
      <c r="G317" s="84"/>
      <c r="H317" s="2" t="s">
        <v>299</v>
      </c>
      <c r="I317" s="9">
        <v>668</v>
      </c>
      <c r="J317" s="11">
        <v>6</v>
      </c>
      <c r="K317" s="11">
        <v>2</v>
      </c>
      <c r="L317" s="57" t="s">
        <v>239</v>
      </c>
      <c r="M317" s="58" t="s">
        <v>220</v>
      </c>
      <c r="N317" s="58" t="s">
        <v>236</v>
      </c>
      <c r="O317" s="58" t="s">
        <v>510</v>
      </c>
      <c r="P317" s="7">
        <v>240</v>
      </c>
      <c r="Q317" s="124">
        <v>141038.8</v>
      </c>
      <c r="R317" s="126">
        <v>0</v>
      </c>
      <c r="S317" s="126">
        <v>0</v>
      </c>
    </row>
    <row r="318" spans="1:19" s="113" customFormat="1" ht="18.75">
      <c r="A318" s="89"/>
      <c r="B318" s="90"/>
      <c r="C318" s="106"/>
      <c r="D318" s="128"/>
      <c r="E318" s="106"/>
      <c r="F318" s="106"/>
      <c r="G318" s="84"/>
      <c r="H318" s="2" t="s">
        <v>865</v>
      </c>
      <c r="I318" s="9">
        <v>668</v>
      </c>
      <c r="J318" s="11">
        <v>6</v>
      </c>
      <c r="K318" s="11">
        <v>2</v>
      </c>
      <c r="L318" s="57" t="s">
        <v>239</v>
      </c>
      <c r="M318" s="58" t="s">
        <v>220</v>
      </c>
      <c r="N318" s="58" t="s">
        <v>236</v>
      </c>
      <c r="O318" s="58" t="s">
        <v>866</v>
      </c>
      <c r="P318" s="7"/>
      <c r="Q318" s="124">
        <f>Q319</f>
        <v>7638.8</v>
      </c>
      <c r="R318" s="124">
        <f>R319</f>
        <v>0</v>
      </c>
      <c r="S318" s="124">
        <f>S319</f>
        <v>0</v>
      </c>
    </row>
    <row r="319" spans="1:19" s="113" customFormat="1" ht="18.75">
      <c r="A319" s="89"/>
      <c r="B319" s="90"/>
      <c r="C319" s="106"/>
      <c r="D319" s="128"/>
      <c r="E319" s="106"/>
      <c r="F319" s="106"/>
      <c r="G319" s="84"/>
      <c r="H319" s="2" t="s">
        <v>299</v>
      </c>
      <c r="I319" s="9">
        <v>668</v>
      </c>
      <c r="J319" s="11">
        <v>6</v>
      </c>
      <c r="K319" s="11">
        <v>2</v>
      </c>
      <c r="L319" s="57" t="s">
        <v>239</v>
      </c>
      <c r="M319" s="58" t="s">
        <v>220</v>
      </c>
      <c r="N319" s="58" t="s">
        <v>236</v>
      </c>
      <c r="O319" s="58" t="s">
        <v>866</v>
      </c>
      <c r="P319" s="7">
        <v>240</v>
      </c>
      <c r="Q319" s="124">
        <f>7211+427.8</f>
        <v>7638.8</v>
      </c>
      <c r="R319" s="126">
        <v>0</v>
      </c>
      <c r="S319" s="126">
        <v>0</v>
      </c>
    </row>
    <row r="320" spans="1:19" s="113" customFormat="1" ht="19.5">
      <c r="A320" s="89"/>
      <c r="B320" s="90"/>
      <c r="C320" s="106"/>
      <c r="D320" s="128"/>
      <c r="E320" s="106"/>
      <c r="F320" s="106"/>
      <c r="G320" s="84"/>
      <c r="H320" s="244" t="s">
        <v>212</v>
      </c>
      <c r="I320" s="251">
        <v>668</v>
      </c>
      <c r="J320" s="86">
        <v>6</v>
      </c>
      <c r="K320" s="86">
        <v>3</v>
      </c>
      <c r="L320" s="87"/>
      <c r="M320" s="88"/>
      <c r="N320" s="88"/>
      <c r="O320" s="88"/>
      <c r="P320" s="85"/>
      <c r="Q320" s="123">
        <f>Q321</f>
        <v>14.4</v>
      </c>
      <c r="R320" s="123">
        <f aca="true" t="shared" si="36" ref="R320:S323">R321</f>
        <v>14.4</v>
      </c>
      <c r="S320" s="123">
        <f t="shared" si="36"/>
        <v>14.4</v>
      </c>
    </row>
    <row r="321" spans="1:19" ht="31.5">
      <c r="A321" s="61"/>
      <c r="B321" s="60"/>
      <c r="C321" s="59"/>
      <c r="D321" s="461">
        <v>5220000</v>
      </c>
      <c r="E321" s="462"/>
      <c r="F321" s="462"/>
      <c r="G321" s="51">
        <v>622</v>
      </c>
      <c r="H321" s="2" t="s">
        <v>522</v>
      </c>
      <c r="I321" s="9">
        <v>668</v>
      </c>
      <c r="J321" s="11">
        <v>6</v>
      </c>
      <c r="K321" s="11">
        <v>3</v>
      </c>
      <c r="L321" s="57" t="s">
        <v>494</v>
      </c>
      <c r="M321" s="58" t="s">
        <v>220</v>
      </c>
      <c r="N321" s="58" t="s">
        <v>229</v>
      </c>
      <c r="O321" s="58" t="s">
        <v>261</v>
      </c>
      <c r="P321" s="7"/>
      <c r="Q321" s="124">
        <f>Q322</f>
        <v>14.4</v>
      </c>
      <c r="R321" s="124">
        <f t="shared" si="36"/>
        <v>14.4</v>
      </c>
      <c r="S321" s="124">
        <f t="shared" si="36"/>
        <v>14.4</v>
      </c>
    </row>
    <row r="322" spans="1:19" ht="31.5">
      <c r="A322" s="59"/>
      <c r="B322" s="60"/>
      <c r="C322" s="68"/>
      <c r="D322" s="73"/>
      <c r="E322" s="76"/>
      <c r="F322" s="76"/>
      <c r="G322" s="51"/>
      <c r="H322" s="2" t="s">
        <v>524</v>
      </c>
      <c r="I322" s="5">
        <v>668</v>
      </c>
      <c r="J322" s="11">
        <v>6</v>
      </c>
      <c r="K322" s="11">
        <v>3</v>
      </c>
      <c r="L322" s="57" t="s">
        <v>494</v>
      </c>
      <c r="M322" s="58" t="s">
        <v>220</v>
      </c>
      <c r="N322" s="58" t="s">
        <v>223</v>
      </c>
      <c r="O322" s="58" t="s">
        <v>261</v>
      </c>
      <c r="P322" s="7"/>
      <c r="Q322" s="124">
        <f>Q323</f>
        <v>14.4</v>
      </c>
      <c r="R322" s="124">
        <f t="shared" si="36"/>
        <v>14.4</v>
      </c>
      <c r="S322" s="124">
        <f t="shared" si="36"/>
        <v>14.4</v>
      </c>
    </row>
    <row r="323" spans="1:19" ht="47.25">
      <c r="A323" s="72"/>
      <c r="B323" s="73"/>
      <c r="C323" s="68"/>
      <c r="D323" s="69"/>
      <c r="E323" s="66"/>
      <c r="F323" s="66"/>
      <c r="G323" s="51"/>
      <c r="H323" s="2" t="s">
        <v>325</v>
      </c>
      <c r="I323" s="9">
        <v>668</v>
      </c>
      <c r="J323" s="11">
        <v>6</v>
      </c>
      <c r="K323" s="11">
        <v>3</v>
      </c>
      <c r="L323" s="57" t="s">
        <v>494</v>
      </c>
      <c r="M323" s="58" t="s">
        <v>220</v>
      </c>
      <c r="N323" s="58" t="s">
        <v>223</v>
      </c>
      <c r="O323" s="58" t="s">
        <v>324</v>
      </c>
      <c r="P323" s="3"/>
      <c r="Q323" s="126">
        <f>Q324</f>
        <v>14.4</v>
      </c>
      <c r="R323" s="126">
        <f t="shared" si="36"/>
        <v>14.4</v>
      </c>
      <c r="S323" s="126">
        <f t="shared" si="36"/>
        <v>14.4</v>
      </c>
    </row>
    <row r="324" spans="1:19" ht="18.75">
      <c r="A324" s="72"/>
      <c r="B324" s="74"/>
      <c r="C324" s="68"/>
      <c r="D324" s="71"/>
      <c r="E324" s="66"/>
      <c r="F324" s="66"/>
      <c r="G324" s="51"/>
      <c r="H324" s="2" t="s">
        <v>299</v>
      </c>
      <c r="I324" s="9">
        <v>668</v>
      </c>
      <c r="J324" s="11">
        <v>6</v>
      </c>
      <c r="K324" s="11">
        <v>3</v>
      </c>
      <c r="L324" s="57" t="s">
        <v>494</v>
      </c>
      <c r="M324" s="58" t="s">
        <v>220</v>
      </c>
      <c r="N324" s="58" t="s">
        <v>223</v>
      </c>
      <c r="O324" s="58" t="s">
        <v>324</v>
      </c>
      <c r="P324" s="3">
        <v>240</v>
      </c>
      <c r="Q324" s="126">
        <v>14.4</v>
      </c>
      <c r="R324" s="126">
        <v>14.4</v>
      </c>
      <c r="S324" s="126">
        <v>14.4</v>
      </c>
    </row>
    <row r="325" spans="1:19" s="113" customFormat="1" ht="19.5">
      <c r="A325" s="106"/>
      <c r="B325" s="224"/>
      <c r="C325" s="104"/>
      <c r="D325" s="91"/>
      <c r="E325" s="92"/>
      <c r="F325" s="92"/>
      <c r="G325" s="84"/>
      <c r="H325" s="225" t="s">
        <v>211</v>
      </c>
      <c r="I325" s="251">
        <v>668</v>
      </c>
      <c r="J325" s="86">
        <v>6</v>
      </c>
      <c r="K325" s="86">
        <v>5</v>
      </c>
      <c r="L325" s="87"/>
      <c r="M325" s="88"/>
      <c r="N325" s="88"/>
      <c r="O325" s="88"/>
      <c r="P325" s="85"/>
      <c r="Q325" s="123">
        <f>Q326+Q337</f>
        <v>414.3</v>
      </c>
      <c r="R325" s="123">
        <f>R326+R337</f>
        <v>414.3</v>
      </c>
      <c r="S325" s="123">
        <f>S326+S337</f>
        <v>413.9</v>
      </c>
    </row>
    <row r="326" spans="1:19" ht="31.5">
      <c r="A326" s="76"/>
      <c r="B326" s="74"/>
      <c r="C326" s="68"/>
      <c r="D326" s="71"/>
      <c r="E326" s="66"/>
      <c r="F326" s="66"/>
      <c r="G326" s="51"/>
      <c r="H326" s="129" t="s">
        <v>544</v>
      </c>
      <c r="I326" s="9">
        <v>668</v>
      </c>
      <c r="J326" s="11">
        <v>6</v>
      </c>
      <c r="K326" s="11">
        <v>5</v>
      </c>
      <c r="L326" s="57" t="s">
        <v>239</v>
      </c>
      <c r="M326" s="58" t="s">
        <v>220</v>
      </c>
      <c r="N326" s="58" t="s">
        <v>229</v>
      </c>
      <c r="O326" s="58" t="s">
        <v>261</v>
      </c>
      <c r="P326" s="7"/>
      <c r="Q326" s="124">
        <f>Q327+Q330+Q334</f>
        <v>330</v>
      </c>
      <c r="R326" s="124">
        <f>R327+R330+R334</f>
        <v>330</v>
      </c>
      <c r="S326" s="124">
        <f>S327+S330+S334</f>
        <v>330</v>
      </c>
    </row>
    <row r="327" spans="1:19" ht="31.5">
      <c r="A327" s="76"/>
      <c r="B327" s="74"/>
      <c r="C327" s="68"/>
      <c r="D327" s="71"/>
      <c r="E327" s="66"/>
      <c r="F327" s="66"/>
      <c r="G327" s="51"/>
      <c r="H327" s="422" t="s">
        <v>1105</v>
      </c>
      <c r="I327" s="9">
        <v>668</v>
      </c>
      <c r="J327" s="11">
        <v>6</v>
      </c>
      <c r="K327" s="11">
        <v>5</v>
      </c>
      <c r="L327" s="57" t="s">
        <v>239</v>
      </c>
      <c r="M327" s="58" t="s">
        <v>220</v>
      </c>
      <c r="N327" s="58" t="s">
        <v>221</v>
      </c>
      <c r="O327" s="58" t="s">
        <v>261</v>
      </c>
      <c r="P327" s="7"/>
      <c r="Q327" s="124">
        <f aca="true" t="shared" si="37" ref="Q327:S328">Q328</f>
        <v>30</v>
      </c>
      <c r="R327" s="124">
        <f t="shared" si="37"/>
        <v>30</v>
      </c>
      <c r="S327" s="124">
        <f t="shared" si="37"/>
        <v>30</v>
      </c>
    </row>
    <row r="328" spans="1:19" ht="18.75">
      <c r="A328" s="76"/>
      <c r="B328" s="74"/>
      <c r="C328" s="68"/>
      <c r="D328" s="71"/>
      <c r="E328" s="66"/>
      <c r="F328" s="66"/>
      <c r="G328" s="51"/>
      <c r="H328" s="129" t="s">
        <v>1033</v>
      </c>
      <c r="I328" s="9">
        <v>668</v>
      </c>
      <c r="J328" s="11">
        <v>6</v>
      </c>
      <c r="K328" s="11">
        <v>5</v>
      </c>
      <c r="L328" s="57" t="s">
        <v>239</v>
      </c>
      <c r="M328" s="58" t="s">
        <v>220</v>
      </c>
      <c r="N328" s="58" t="s">
        <v>221</v>
      </c>
      <c r="O328" s="58" t="s">
        <v>1034</v>
      </c>
      <c r="P328" s="7"/>
      <c r="Q328" s="124">
        <f t="shared" si="37"/>
        <v>30</v>
      </c>
      <c r="R328" s="124">
        <f t="shared" si="37"/>
        <v>30</v>
      </c>
      <c r="S328" s="124">
        <f t="shared" si="37"/>
        <v>30</v>
      </c>
    </row>
    <row r="329" spans="1:19" ht="18.75">
      <c r="A329" s="76"/>
      <c r="B329" s="74"/>
      <c r="C329" s="68"/>
      <c r="D329" s="71"/>
      <c r="E329" s="66"/>
      <c r="F329" s="66"/>
      <c r="G329" s="51"/>
      <c r="H329" s="129" t="s">
        <v>299</v>
      </c>
      <c r="I329" s="9">
        <v>668</v>
      </c>
      <c r="J329" s="11">
        <v>6</v>
      </c>
      <c r="K329" s="11">
        <v>5</v>
      </c>
      <c r="L329" s="57" t="s">
        <v>239</v>
      </c>
      <c r="M329" s="58" t="s">
        <v>220</v>
      </c>
      <c r="N329" s="58" t="s">
        <v>221</v>
      </c>
      <c r="O329" s="58" t="s">
        <v>1034</v>
      </c>
      <c r="P329" s="7">
        <v>240</v>
      </c>
      <c r="Q329" s="124">
        <f>30</f>
        <v>30</v>
      </c>
      <c r="R329" s="124">
        <v>30</v>
      </c>
      <c r="S329" s="124">
        <v>30</v>
      </c>
    </row>
    <row r="330" spans="1:19" ht="31.5" hidden="1">
      <c r="A330" s="76"/>
      <c r="B330" s="74"/>
      <c r="C330" s="68"/>
      <c r="D330" s="71"/>
      <c r="E330" s="66"/>
      <c r="F330" s="66"/>
      <c r="G330" s="51"/>
      <c r="H330" s="26" t="s">
        <v>41</v>
      </c>
      <c r="I330" s="9">
        <v>668</v>
      </c>
      <c r="J330" s="11">
        <v>6</v>
      </c>
      <c r="K330" s="11">
        <v>5</v>
      </c>
      <c r="L330" s="57" t="s">
        <v>239</v>
      </c>
      <c r="M330" s="58" t="s">
        <v>220</v>
      </c>
      <c r="N330" s="58" t="s">
        <v>236</v>
      </c>
      <c r="O330" s="58" t="s">
        <v>261</v>
      </c>
      <c r="P330" s="7"/>
      <c r="Q330" s="124">
        <f aca="true" t="shared" si="38" ref="Q330:S331">Q331</f>
        <v>0</v>
      </c>
      <c r="R330" s="124">
        <f t="shared" si="38"/>
        <v>0</v>
      </c>
      <c r="S330" s="124">
        <f t="shared" si="38"/>
        <v>0</v>
      </c>
    </row>
    <row r="331" spans="1:19" ht="18.75" hidden="1">
      <c r="A331" s="76"/>
      <c r="B331" s="74"/>
      <c r="C331" s="68"/>
      <c r="D331" s="71"/>
      <c r="E331" s="66"/>
      <c r="F331" s="66"/>
      <c r="G331" s="51"/>
      <c r="H331" s="26" t="s">
        <v>13</v>
      </c>
      <c r="I331" s="9">
        <v>668</v>
      </c>
      <c r="J331" s="11">
        <v>6</v>
      </c>
      <c r="K331" s="11">
        <v>5</v>
      </c>
      <c r="L331" s="57" t="s">
        <v>239</v>
      </c>
      <c r="M331" s="58" t="s">
        <v>220</v>
      </c>
      <c r="N331" s="58" t="s">
        <v>236</v>
      </c>
      <c r="O331" s="58" t="s">
        <v>12</v>
      </c>
      <c r="P331" s="7"/>
      <c r="Q331" s="124">
        <f t="shared" si="38"/>
        <v>0</v>
      </c>
      <c r="R331" s="124">
        <f t="shared" si="38"/>
        <v>0</v>
      </c>
      <c r="S331" s="124">
        <f t="shared" si="38"/>
        <v>0</v>
      </c>
    </row>
    <row r="332" spans="1:19" ht="18.75" hidden="1">
      <c r="A332" s="76"/>
      <c r="B332" s="74"/>
      <c r="C332" s="68"/>
      <c r="D332" s="71"/>
      <c r="E332" s="66"/>
      <c r="F332" s="66"/>
      <c r="G332" s="51"/>
      <c r="H332" s="2" t="s">
        <v>299</v>
      </c>
      <c r="I332" s="9">
        <v>668</v>
      </c>
      <c r="J332" s="11">
        <v>6</v>
      </c>
      <c r="K332" s="11">
        <v>5</v>
      </c>
      <c r="L332" s="57" t="s">
        <v>239</v>
      </c>
      <c r="M332" s="58" t="s">
        <v>220</v>
      </c>
      <c r="N332" s="58" t="s">
        <v>236</v>
      </c>
      <c r="O332" s="58" t="s">
        <v>12</v>
      </c>
      <c r="P332" s="7">
        <v>240</v>
      </c>
      <c r="Q332" s="124">
        <v>0</v>
      </c>
      <c r="R332" s="124">
        <v>0</v>
      </c>
      <c r="S332" s="124">
        <v>0</v>
      </c>
    </row>
    <row r="333" spans="1:19" ht="31.5">
      <c r="A333" s="76"/>
      <c r="B333" s="74"/>
      <c r="C333" s="68"/>
      <c r="D333" s="71"/>
      <c r="E333" s="66"/>
      <c r="F333" s="66"/>
      <c r="G333" s="51"/>
      <c r="H333" s="2" t="s">
        <v>544</v>
      </c>
      <c r="I333" s="9">
        <v>668</v>
      </c>
      <c r="J333" s="11">
        <v>6</v>
      </c>
      <c r="K333" s="11">
        <v>5</v>
      </c>
      <c r="L333" s="57" t="s">
        <v>239</v>
      </c>
      <c r="M333" s="58" t="s">
        <v>220</v>
      </c>
      <c r="N333" s="58" t="s">
        <v>229</v>
      </c>
      <c r="O333" s="58" t="s">
        <v>261</v>
      </c>
      <c r="P333" s="7"/>
      <c r="Q333" s="124">
        <f>Q334</f>
        <v>300</v>
      </c>
      <c r="R333" s="124">
        <f aca="true" t="shared" si="39" ref="R333:S335">R334</f>
        <v>300</v>
      </c>
      <c r="S333" s="124">
        <f t="shared" si="39"/>
        <v>300</v>
      </c>
    </row>
    <row r="334" spans="1:19" ht="31.5">
      <c r="A334" s="76"/>
      <c r="B334" s="74"/>
      <c r="C334" s="68"/>
      <c r="D334" s="71"/>
      <c r="E334" s="66"/>
      <c r="F334" s="66"/>
      <c r="G334" s="51"/>
      <c r="H334" s="2" t="s">
        <v>41</v>
      </c>
      <c r="I334" s="9">
        <v>668</v>
      </c>
      <c r="J334" s="11">
        <v>6</v>
      </c>
      <c r="K334" s="11">
        <v>5</v>
      </c>
      <c r="L334" s="57" t="s">
        <v>239</v>
      </c>
      <c r="M334" s="58" t="s">
        <v>220</v>
      </c>
      <c r="N334" s="58" t="s">
        <v>236</v>
      </c>
      <c r="O334" s="58" t="s">
        <v>261</v>
      </c>
      <c r="P334" s="7"/>
      <c r="Q334" s="124">
        <f>Q335</f>
        <v>300</v>
      </c>
      <c r="R334" s="124">
        <f t="shared" si="39"/>
        <v>300</v>
      </c>
      <c r="S334" s="124">
        <f t="shared" si="39"/>
        <v>300</v>
      </c>
    </row>
    <row r="335" spans="1:19" ht="18.75">
      <c r="A335" s="76"/>
      <c r="B335" s="74"/>
      <c r="C335" s="68"/>
      <c r="D335" s="71"/>
      <c r="E335" s="66"/>
      <c r="F335" s="66"/>
      <c r="G335" s="51"/>
      <c r="H335" s="2" t="s">
        <v>1005</v>
      </c>
      <c r="I335" s="9">
        <v>668</v>
      </c>
      <c r="J335" s="11">
        <v>6</v>
      </c>
      <c r="K335" s="11">
        <v>5</v>
      </c>
      <c r="L335" s="57" t="s">
        <v>239</v>
      </c>
      <c r="M335" s="58" t="s">
        <v>220</v>
      </c>
      <c r="N335" s="58" t="s">
        <v>236</v>
      </c>
      <c r="O335" s="58" t="s">
        <v>12</v>
      </c>
      <c r="P335" s="7"/>
      <c r="Q335" s="124">
        <f>Q336</f>
        <v>300</v>
      </c>
      <c r="R335" s="124">
        <f t="shared" si="39"/>
        <v>300</v>
      </c>
      <c r="S335" s="124">
        <f t="shared" si="39"/>
        <v>300</v>
      </c>
    </row>
    <row r="336" spans="1:19" ht="18.75">
      <c r="A336" s="76"/>
      <c r="B336" s="74"/>
      <c r="C336" s="68"/>
      <c r="D336" s="71"/>
      <c r="E336" s="66"/>
      <c r="F336" s="66"/>
      <c r="G336" s="51"/>
      <c r="H336" s="2" t="s">
        <v>299</v>
      </c>
      <c r="I336" s="9">
        <v>668</v>
      </c>
      <c r="J336" s="11">
        <v>6</v>
      </c>
      <c r="K336" s="11">
        <v>5</v>
      </c>
      <c r="L336" s="57" t="s">
        <v>239</v>
      </c>
      <c r="M336" s="58" t="s">
        <v>220</v>
      </c>
      <c r="N336" s="58" t="s">
        <v>236</v>
      </c>
      <c r="O336" s="58" t="s">
        <v>12</v>
      </c>
      <c r="P336" s="7">
        <v>240</v>
      </c>
      <c r="Q336" s="124">
        <f>330-30</f>
        <v>300</v>
      </c>
      <c r="R336" s="124">
        <v>300</v>
      </c>
      <c r="S336" s="124">
        <v>300</v>
      </c>
    </row>
    <row r="337" spans="1:19" ht="31.5">
      <c r="A337" s="72"/>
      <c r="B337" s="74"/>
      <c r="C337" s="68"/>
      <c r="D337" s="71"/>
      <c r="E337" s="66"/>
      <c r="F337" s="66"/>
      <c r="G337" s="51"/>
      <c r="H337" s="2" t="s">
        <v>522</v>
      </c>
      <c r="I337" s="9">
        <v>668</v>
      </c>
      <c r="J337" s="11">
        <v>6</v>
      </c>
      <c r="K337" s="11">
        <v>5</v>
      </c>
      <c r="L337" s="57" t="s">
        <v>494</v>
      </c>
      <c r="M337" s="58" t="s">
        <v>220</v>
      </c>
      <c r="N337" s="58" t="s">
        <v>229</v>
      </c>
      <c r="O337" s="58" t="s">
        <v>261</v>
      </c>
      <c r="P337" s="7"/>
      <c r="Q337" s="124">
        <f aca="true" t="shared" si="40" ref="Q337:S338">Q338</f>
        <v>84.3</v>
      </c>
      <c r="R337" s="124">
        <f t="shared" si="40"/>
        <v>84.3</v>
      </c>
      <c r="S337" s="124">
        <f t="shared" si="40"/>
        <v>83.9</v>
      </c>
    </row>
    <row r="338" spans="1:19" ht="31.5">
      <c r="A338" s="59"/>
      <c r="B338" s="60"/>
      <c r="C338" s="68"/>
      <c r="D338" s="73"/>
      <c r="E338" s="76"/>
      <c r="F338" s="76"/>
      <c r="G338" s="51"/>
      <c r="H338" s="2" t="s">
        <v>524</v>
      </c>
      <c r="I338" s="9">
        <v>668</v>
      </c>
      <c r="J338" s="11">
        <v>6</v>
      </c>
      <c r="K338" s="11">
        <v>5</v>
      </c>
      <c r="L338" s="57" t="s">
        <v>494</v>
      </c>
      <c r="M338" s="58" t="s">
        <v>220</v>
      </c>
      <c r="N338" s="58" t="s">
        <v>223</v>
      </c>
      <c r="O338" s="58" t="s">
        <v>261</v>
      </c>
      <c r="P338" s="7"/>
      <c r="Q338" s="124">
        <f t="shared" si="40"/>
        <v>84.3</v>
      </c>
      <c r="R338" s="124">
        <f t="shared" si="40"/>
        <v>84.3</v>
      </c>
      <c r="S338" s="124">
        <f t="shared" si="40"/>
        <v>83.9</v>
      </c>
    </row>
    <row r="339" spans="1:19" ht="18.75">
      <c r="A339" s="59"/>
      <c r="B339" s="60"/>
      <c r="C339" s="68"/>
      <c r="D339" s="73"/>
      <c r="E339" s="76"/>
      <c r="F339" s="76"/>
      <c r="G339" s="51"/>
      <c r="H339" s="108" t="s">
        <v>342</v>
      </c>
      <c r="I339" s="9">
        <v>668</v>
      </c>
      <c r="J339" s="11">
        <v>6</v>
      </c>
      <c r="K339" s="11">
        <v>5</v>
      </c>
      <c r="L339" s="57" t="s">
        <v>494</v>
      </c>
      <c r="M339" s="58" t="s">
        <v>220</v>
      </c>
      <c r="N339" s="58" t="s">
        <v>223</v>
      </c>
      <c r="O339" s="58" t="s">
        <v>341</v>
      </c>
      <c r="P339" s="7"/>
      <c r="Q339" s="124">
        <f>Q340+Q341</f>
        <v>84.3</v>
      </c>
      <c r="R339" s="124">
        <f>R340+R341</f>
        <v>84.3</v>
      </c>
      <c r="S339" s="124">
        <f>S340+S341</f>
        <v>83.9</v>
      </c>
    </row>
    <row r="340" spans="1:19" ht="18.75">
      <c r="A340" s="59"/>
      <c r="B340" s="60"/>
      <c r="C340" s="68"/>
      <c r="D340" s="73"/>
      <c r="E340" s="76"/>
      <c r="F340" s="76"/>
      <c r="G340" s="51"/>
      <c r="H340" s="2" t="s">
        <v>204</v>
      </c>
      <c r="I340" s="9">
        <v>668</v>
      </c>
      <c r="J340" s="11">
        <v>6</v>
      </c>
      <c r="K340" s="11">
        <v>5</v>
      </c>
      <c r="L340" s="57" t="s">
        <v>494</v>
      </c>
      <c r="M340" s="58" t="s">
        <v>220</v>
      </c>
      <c r="N340" s="58" t="s">
        <v>223</v>
      </c>
      <c r="O340" s="58" t="s">
        <v>341</v>
      </c>
      <c r="P340" s="7">
        <v>120</v>
      </c>
      <c r="Q340" s="124">
        <f>60.1+10.9+3.3</f>
        <v>74.3</v>
      </c>
      <c r="R340" s="124">
        <v>60.1</v>
      </c>
      <c r="S340" s="124">
        <v>60.1</v>
      </c>
    </row>
    <row r="341" spans="1:19" ht="18.75">
      <c r="A341" s="59"/>
      <c r="B341" s="60"/>
      <c r="C341" s="68"/>
      <c r="D341" s="73"/>
      <c r="E341" s="76"/>
      <c r="F341" s="76"/>
      <c r="G341" s="51"/>
      <c r="H341" s="2" t="s">
        <v>299</v>
      </c>
      <c r="I341" s="9">
        <v>668</v>
      </c>
      <c r="J341" s="11">
        <v>6</v>
      </c>
      <c r="K341" s="11">
        <v>5</v>
      </c>
      <c r="L341" s="57" t="s">
        <v>494</v>
      </c>
      <c r="M341" s="58" t="s">
        <v>220</v>
      </c>
      <c r="N341" s="58" t="s">
        <v>223</v>
      </c>
      <c r="O341" s="58" t="s">
        <v>341</v>
      </c>
      <c r="P341" s="7">
        <v>240</v>
      </c>
      <c r="Q341" s="124">
        <f>24.2-14.2</f>
        <v>10</v>
      </c>
      <c r="R341" s="125">
        <v>24.2</v>
      </c>
      <c r="S341" s="125">
        <v>23.8</v>
      </c>
    </row>
    <row r="342" spans="1:19" s="113" customFormat="1" ht="19.5">
      <c r="A342" s="89"/>
      <c r="B342" s="90"/>
      <c r="C342" s="104"/>
      <c r="D342" s="128"/>
      <c r="E342" s="106"/>
      <c r="F342" s="106"/>
      <c r="G342" s="84"/>
      <c r="H342" s="227" t="s">
        <v>246</v>
      </c>
      <c r="I342" s="251">
        <v>668</v>
      </c>
      <c r="J342" s="86">
        <v>7</v>
      </c>
      <c r="K342" s="86" t="s">
        <v>262</v>
      </c>
      <c r="L342" s="87"/>
      <c r="M342" s="88"/>
      <c r="N342" s="88"/>
      <c r="O342" s="88"/>
      <c r="P342" s="85"/>
      <c r="Q342" s="123">
        <f>Q343+Q354</f>
        <v>10772.2</v>
      </c>
      <c r="R342" s="123">
        <f>R343+R354</f>
        <v>12100.599999999999</v>
      </c>
      <c r="S342" s="123">
        <f>S343+S354</f>
        <v>12627.4</v>
      </c>
    </row>
    <row r="343" spans="1:19" s="221" customFormat="1" ht="18.75">
      <c r="A343" s="61"/>
      <c r="B343" s="226"/>
      <c r="C343" s="219"/>
      <c r="D343" s="218"/>
      <c r="E343" s="72"/>
      <c r="F343" s="72"/>
      <c r="G343" s="220"/>
      <c r="H343" s="23" t="s">
        <v>65</v>
      </c>
      <c r="I343" s="356">
        <v>668</v>
      </c>
      <c r="J343" s="53">
        <v>7</v>
      </c>
      <c r="K343" s="53">
        <v>3</v>
      </c>
      <c r="L343" s="54"/>
      <c r="M343" s="55"/>
      <c r="N343" s="55"/>
      <c r="O343" s="55"/>
      <c r="P343" s="52"/>
      <c r="Q343" s="122">
        <f>Q348+Q344</f>
        <v>9886.2</v>
      </c>
      <c r="R343" s="122">
        <f>R348+R344</f>
        <v>11781.399999999998</v>
      </c>
      <c r="S343" s="122">
        <f>S348+S344</f>
        <v>12307.4</v>
      </c>
    </row>
    <row r="344" spans="1:19" ht="31.5">
      <c r="A344" s="59"/>
      <c r="B344" s="60"/>
      <c r="C344" s="68"/>
      <c r="D344" s="73"/>
      <c r="E344" s="76"/>
      <c r="F344" s="76"/>
      <c r="G344" s="51"/>
      <c r="H344" s="25" t="s">
        <v>583</v>
      </c>
      <c r="I344" s="9">
        <v>668</v>
      </c>
      <c r="J344" s="11">
        <v>7</v>
      </c>
      <c r="K344" s="11">
        <v>3</v>
      </c>
      <c r="L344" s="57" t="s">
        <v>221</v>
      </c>
      <c r="M344" s="58" t="s">
        <v>220</v>
      </c>
      <c r="N344" s="58" t="s">
        <v>229</v>
      </c>
      <c r="O344" s="58" t="s">
        <v>261</v>
      </c>
      <c r="P344" s="7"/>
      <c r="Q344" s="124">
        <f aca="true" t="shared" si="41" ref="Q344:S346">Q345</f>
        <v>7.7</v>
      </c>
      <c r="R344" s="124">
        <f t="shared" si="41"/>
        <v>5.8</v>
      </c>
      <c r="S344" s="124">
        <f t="shared" si="41"/>
        <v>5.8</v>
      </c>
    </row>
    <row r="345" spans="1:19" ht="31.5">
      <c r="A345" s="59"/>
      <c r="B345" s="60"/>
      <c r="C345" s="68"/>
      <c r="D345" s="73"/>
      <c r="E345" s="76"/>
      <c r="F345" s="76"/>
      <c r="G345" s="51"/>
      <c r="H345" s="25" t="s">
        <v>289</v>
      </c>
      <c r="I345" s="9">
        <v>668</v>
      </c>
      <c r="J345" s="11">
        <v>7</v>
      </c>
      <c r="K345" s="11">
        <v>3</v>
      </c>
      <c r="L345" s="57" t="s">
        <v>221</v>
      </c>
      <c r="M345" s="58" t="s">
        <v>220</v>
      </c>
      <c r="N345" s="58" t="s">
        <v>232</v>
      </c>
      <c r="O345" s="58" t="s">
        <v>261</v>
      </c>
      <c r="P345" s="7"/>
      <c r="Q345" s="124">
        <f t="shared" si="41"/>
        <v>7.7</v>
      </c>
      <c r="R345" s="124">
        <f t="shared" si="41"/>
        <v>5.8</v>
      </c>
      <c r="S345" s="124">
        <f t="shared" si="41"/>
        <v>5.8</v>
      </c>
    </row>
    <row r="346" spans="1:19" ht="18.75">
      <c r="A346" s="59"/>
      <c r="B346" s="60"/>
      <c r="C346" s="68"/>
      <c r="D346" s="73"/>
      <c r="E346" s="76"/>
      <c r="F346" s="76"/>
      <c r="G346" s="51"/>
      <c r="H346" s="303" t="s">
        <v>57</v>
      </c>
      <c r="I346" s="9">
        <v>668</v>
      </c>
      <c r="J346" s="11">
        <v>7</v>
      </c>
      <c r="K346" s="11">
        <v>3</v>
      </c>
      <c r="L346" s="57" t="s">
        <v>221</v>
      </c>
      <c r="M346" s="58" t="s">
        <v>220</v>
      </c>
      <c r="N346" s="58" t="s">
        <v>232</v>
      </c>
      <c r="O346" s="58" t="s">
        <v>14</v>
      </c>
      <c r="P346" s="7"/>
      <c r="Q346" s="124">
        <f t="shared" si="41"/>
        <v>7.7</v>
      </c>
      <c r="R346" s="124">
        <f t="shared" si="41"/>
        <v>5.8</v>
      </c>
      <c r="S346" s="124">
        <f t="shared" si="41"/>
        <v>5.8</v>
      </c>
    </row>
    <row r="347" spans="1:19" ht="18.75">
      <c r="A347" s="59"/>
      <c r="B347" s="60"/>
      <c r="C347" s="68"/>
      <c r="D347" s="73"/>
      <c r="E347" s="76"/>
      <c r="F347" s="76"/>
      <c r="G347" s="51"/>
      <c r="H347" s="25" t="s">
        <v>301</v>
      </c>
      <c r="I347" s="9">
        <v>668</v>
      </c>
      <c r="J347" s="11">
        <v>7</v>
      </c>
      <c r="K347" s="11">
        <v>3</v>
      </c>
      <c r="L347" s="57" t="s">
        <v>221</v>
      </c>
      <c r="M347" s="58" t="s">
        <v>220</v>
      </c>
      <c r="N347" s="58" t="s">
        <v>232</v>
      </c>
      <c r="O347" s="58" t="s">
        <v>14</v>
      </c>
      <c r="P347" s="7">
        <v>610</v>
      </c>
      <c r="Q347" s="124">
        <f>5.8-5.8+7.7</f>
        <v>7.7</v>
      </c>
      <c r="R347" s="124">
        <v>5.8</v>
      </c>
      <c r="S347" s="124">
        <v>5.8</v>
      </c>
    </row>
    <row r="348" spans="1:19" ht="18.75">
      <c r="A348" s="59"/>
      <c r="B348" s="60"/>
      <c r="C348" s="68"/>
      <c r="D348" s="73"/>
      <c r="E348" s="76"/>
      <c r="F348" s="76"/>
      <c r="G348" s="51"/>
      <c r="H348" s="2" t="s">
        <v>549</v>
      </c>
      <c r="I348" s="9">
        <v>668</v>
      </c>
      <c r="J348" s="11">
        <v>7</v>
      </c>
      <c r="K348" s="11">
        <v>3</v>
      </c>
      <c r="L348" s="57" t="s">
        <v>219</v>
      </c>
      <c r="M348" s="58" t="s">
        <v>220</v>
      </c>
      <c r="N348" s="58" t="s">
        <v>229</v>
      </c>
      <c r="O348" s="58" t="s">
        <v>261</v>
      </c>
      <c r="P348" s="7"/>
      <c r="Q348" s="124">
        <f>Q349</f>
        <v>9878.5</v>
      </c>
      <c r="R348" s="124">
        <f>R349</f>
        <v>11775.599999999999</v>
      </c>
      <c r="S348" s="124">
        <f>S349</f>
        <v>12301.6</v>
      </c>
    </row>
    <row r="349" spans="1:19" ht="31.5">
      <c r="A349" s="59"/>
      <c r="B349" s="60"/>
      <c r="C349" s="76"/>
      <c r="D349" s="73"/>
      <c r="E349" s="76"/>
      <c r="F349" s="76"/>
      <c r="G349" s="51"/>
      <c r="H349" s="2" t="s">
        <v>278</v>
      </c>
      <c r="I349" s="9">
        <v>668</v>
      </c>
      <c r="J349" s="11">
        <v>7</v>
      </c>
      <c r="K349" s="11">
        <v>3</v>
      </c>
      <c r="L349" s="57" t="s">
        <v>219</v>
      </c>
      <c r="M349" s="58" t="s">
        <v>220</v>
      </c>
      <c r="N349" s="58" t="s">
        <v>232</v>
      </c>
      <c r="O349" s="58" t="s">
        <v>261</v>
      </c>
      <c r="P349" s="7"/>
      <c r="Q349" s="124">
        <f>Q350+Q352</f>
        <v>9878.5</v>
      </c>
      <c r="R349" s="124">
        <f>R350+R352</f>
        <v>11775.599999999999</v>
      </c>
      <c r="S349" s="124">
        <f>S350+S352</f>
        <v>12301.6</v>
      </c>
    </row>
    <row r="350" spans="1:19" ht="18.75">
      <c r="A350" s="61"/>
      <c r="B350" s="60"/>
      <c r="C350" s="59"/>
      <c r="D350" s="461">
        <v>5220000</v>
      </c>
      <c r="E350" s="462"/>
      <c r="F350" s="462"/>
      <c r="G350" s="51">
        <v>622</v>
      </c>
      <c r="H350" s="2" t="s">
        <v>57</v>
      </c>
      <c r="I350" s="9">
        <v>668</v>
      </c>
      <c r="J350" s="11">
        <v>7</v>
      </c>
      <c r="K350" s="11">
        <v>3</v>
      </c>
      <c r="L350" s="57" t="s">
        <v>219</v>
      </c>
      <c r="M350" s="58" t="s">
        <v>220</v>
      </c>
      <c r="N350" s="58" t="s">
        <v>232</v>
      </c>
      <c r="O350" s="58" t="s">
        <v>14</v>
      </c>
      <c r="P350" s="7"/>
      <c r="Q350" s="124">
        <f>Q351</f>
        <v>6332.7</v>
      </c>
      <c r="R350" s="124">
        <f>R351</f>
        <v>7407.9</v>
      </c>
      <c r="S350" s="124">
        <f>S351</f>
        <v>7476</v>
      </c>
    </row>
    <row r="351" spans="1:19" ht="18.75">
      <c r="A351" s="59"/>
      <c r="B351" s="60"/>
      <c r="C351" s="68"/>
      <c r="D351" s="73"/>
      <c r="E351" s="76"/>
      <c r="F351" s="76"/>
      <c r="G351" s="51"/>
      <c r="H351" s="2" t="s">
        <v>301</v>
      </c>
      <c r="I351" s="5">
        <v>668</v>
      </c>
      <c r="J351" s="11">
        <v>7</v>
      </c>
      <c r="K351" s="11">
        <v>3</v>
      </c>
      <c r="L351" s="57" t="s">
        <v>219</v>
      </c>
      <c r="M351" s="58" t="s">
        <v>220</v>
      </c>
      <c r="N351" s="58" t="s">
        <v>232</v>
      </c>
      <c r="O351" s="58" t="s">
        <v>14</v>
      </c>
      <c r="P351" s="7">
        <v>610</v>
      </c>
      <c r="Q351" s="124">
        <v>6332.7</v>
      </c>
      <c r="R351" s="124">
        <v>7407.9</v>
      </c>
      <c r="S351" s="124">
        <v>7476</v>
      </c>
    </row>
    <row r="352" spans="1:19" ht="31.5">
      <c r="A352" s="59"/>
      <c r="B352" s="60"/>
      <c r="C352" s="68"/>
      <c r="D352" s="73"/>
      <c r="E352" s="76"/>
      <c r="F352" s="76"/>
      <c r="G352" s="51"/>
      <c r="H352" s="2" t="s">
        <v>374</v>
      </c>
      <c r="I352" s="9">
        <v>668</v>
      </c>
      <c r="J352" s="11">
        <v>7</v>
      </c>
      <c r="K352" s="11">
        <v>3</v>
      </c>
      <c r="L352" s="57" t="s">
        <v>219</v>
      </c>
      <c r="M352" s="58" t="s">
        <v>220</v>
      </c>
      <c r="N352" s="58" t="s">
        <v>232</v>
      </c>
      <c r="O352" s="58" t="s">
        <v>373</v>
      </c>
      <c r="P352" s="7"/>
      <c r="Q352" s="124">
        <f>Q353</f>
        <v>3545.8</v>
      </c>
      <c r="R352" s="124">
        <f>R353</f>
        <v>4367.7</v>
      </c>
      <c r="S352" s="124">
        <f>S353</f>
        <v>4825.6</v>
      </c>
    </row>
    <row r="353" spans="1:19" ht="18.75">
      <c r="A353" s="59"/>
      <c r="B353" s="60"/>
      <c r="C353" s="76"/>
      <c r="D353" s="73"/>
      <c r="E353" s="76"/>
      <c r="F353" s="76"/>
      <c r="G353" s="51"/>
      <c r="H353" s="2" t="s">
        <v>301</v>
      </c>
      <c r="I353" s="9">
        <v>668</v>
      </c>
      <c r="J353" s="11">
        <v>7</v>
      </c>
      <c r="K353" s="11">
        <v>3</v>
      </c>
      <c r="L353" s="57" t="s">
        <v>219</v>
      </c>
      <c r="M353" s="58" t="s">
        <v>220</v>
      </c>
      <c r="N353" s="58" t="s">
        <v>232</v>
      </c>
      <c r="O353" s="58" t="s">
        <v>373</v>
      </c>
      <c r="P353" s="7">
        <v>610</v>
      </c>
      <c r="Q353" s="124">
        <v>3545.8</v>
      </c>
      <c r="R353" s="124">
        <v>4367.7</v>
      </c>
      <c r="S353" s="124">
        <v>4825.6</v>
      </c>
    </row>
    <row r="354" spans="1:19" s="113" customFormat="1" ht="19.5">
      <c r="A354" s="89"/>
      <c r="B354" s="90"/>
      <c r="C354" s="89"/>
      <c r="D354" s="467">
        <v>5220000</v>
      </c>
      <c r="E354" s="468"/>
      <c r="F354" s="468"/>
      <c r="G354" s="84">
        <v>622</v>
      </c>
      <c r="H354" s="227" t="s">
        <v>59</v>
      </c>
      <c r="I354" s="251">
        <v>668</v>
      </c>
      <c r="J354" s="86">
        <v>7</v>
      </c>
      <c r="K354" s="86">
        <v>7</v>
      </c>
      <c r="L354" s="87"/>
      <c r="M354" s="88"/>
      <c r="N354" s="88"/>
      <c r="O354" s="88"/>
      <c r="P354" s="85"/>
      <c r="Q354" s="123">
        <f>Q355</f>
        <v>886</v>
      </c>
      <c r="R354" s="123">
        <f>R355</f>
        <v>319.2</v>
      </c>
      <c r="S354" s="123">
        <f>S355</f>
        <v>320</v>
      </c>
    </row>
    <row r="355" spans="1:19" ht="18.75">
      <c r="A355" s="59"/>
      <c r="B355" s="60"/>
      <c r="C355" s="68"/>
      <c r="D355" s="73"/>
      <c r="E355" s="76"/>
      <c r="F355" s="76"/>
      <c r="G355" s="51"/>
      <c r="H355" s="2" t="s">
        <v>550</v>
      </c>
      <c r="I355" s="5">
        <v>668</v>
      </c>
      <c r="J355" s="11">
        <v>7</v>
      </c>
      <c r="K355" s="11">
        <v>7</v>
      </c>
      <c r="L355" s="57" t="s">
        <v>230</v>
      </c>
      <c r="M355" s="58" t="s">
        <v>220</v>
      </c>
      <c r="N355" s="58" t="s">
        <v>229</v>
      </c>
      <c r="O355" s="58" t="s">
        <v>261</v>
      </c>
      <c r="P355" s="7"/>
      <c r="Q355" s="124">
        <f>Q356+Q360+Q364+Q368</f>
        <v>886</v>
      </c>
      <c r="R355" s="124">
        <f>R356+R360+R364+R368</f>
        <v>319.2</v>
      </c>
      <c r="S355" s="124">
        <f>S356+S360+S364+S368</f>
        <v>320</v>
      </c>
    </row>
    <row r="356" spans="1:19" ht="31.5">
      <c r="A356" s="59"/>
      <c r="B356" s="60"/>
      <c r="C356" s="68"/>
      <c r="D356" s="73"/>
      <c r="E356" s="76"/>
      <c r="F356" s="76"/>
      <c r="G356" s="51"/>
      <c r="H356" s="2" t="s">
        <v>280</v>
      </c>
      <c r="I356" s="9">
        <v>668</v>
      </c>
      <c r="J356" s="11">
        <v>7</v>
      </c>
      <c r="K356" s="11">
        <v>7</v>
      </c>
      <c r="L356" s="57" t="s">
        <v>230</v>
      </c>
      <c r="M356" s="58" t="s">
        <v>220</v>
      </c>
      <c r="N356" s="58" t="s">
        <v>221</v>
      </c>
      <c r="O356" s="58" t="s">
        <v>261</v>
      </c>
      <c r="P356" s="7"/>
      <c r="Q356" s="124">
        <f>Q357</f>
        <v>296</v>
      </c>
      <c r="R356" s="124">
        <f>R357</f>
        <v>159.2</v>
      </c>
      <c r="S356" s="124">
        <f>S357</f>
        <v>160</v>
      </c>
    </row>
    <row r="357" spans="1:19" ht="18.75">
      <c r="A357" s="59"/>
      <c r="B357" s="60"/>
      <c r="C357" s="76"/>
      <c r="D357" s="73"/>
      <c r="E357" s="76"/>
      <c r="F357" s="76"/>
      <c r="G357" s="51"/>
      <c r="H357" s="2" t="s">
        <v>438</v>
      </c>
      <c r="I357" s="9">
        <v>668</v>
      </c>
      <c r="J357" s="11">
        <v>7</v>
      </c>
      <c r="K357" s="11">
        <v>7</v>
      </c>
      <c r="L357" s="57" t="s">
        <v>230</v>
      </c>
      <c r="M357" s="58" t="s">
        <v>220</v>
      </c>
      <c r="N357" s="58" t="s">
        <v>221</v>
      </c>
      <c r="O357" s="58" t="s">
        <v>437</v>
      </c>
      <c r="P357" s="7"/>
      <c r="Q357" s="124">
        <f>Q358+Q359</f>
        <v>296</v>
      </c>
      <c r="R357" s="124">
        <f>R358+R359</f>
        <v>159.2</v>
      </c>
      <c r="S357" s="124">
        <f>S358+S359</f>
        <v>160</v>
      </c>
    </row>
    <row r="358" spans="1:19" ht="18.75" hidden="1">
      <c r="A358" s="61"/>
      <c r="B358" s="60"/>
      <c r="C358" s="59"/>
      <c r="D358" s="271">
        <v>5220000</v>
      </c>
      <c r="E358" s="62"/>
      <c r="F358" s="62"/>
      <c r="G358" s="51">
        <v>622</v>
      </c>
      <c r="H358" s="2" t="s">
        <v>299</v>
      </c>
      <c r="I358" s="9">
        <v>668</v>
      </c>
      <c r="J358" s="11">
        <v>7</v>
      </c>
      <c r="K358" s="11">
        <v>7</v>
      </c>
      <c r="L358" s="57" t="s">
        <v>230</v>
      </c>
      <c r="M358" s="58" t="s">
        <v>220</v>
      </c>
      <c r="N358" s="58" t="s">
        <v>221</v>
      </c>
      <c r="O358" s="58" t="s">
        <v>437</v>
      </c>
      <c r="P358" s="7">
        <v>240</v>
      </c>
      <c r="Q358" s="124"/>
      <c r="R358" s="124"/>
      <c r="S358" s="124"/>
    </row>
    <row r="359" spans="1:19" ht="18.75">
      <c r="A359" s="61"/>
      <c r="B359" s="60"/>
      <c r="C359" s="76"/>
      <c r="D359" s="69"/>
      <c r="E359" s="64"/>
      <c r="F359" s="64"/>
      <c r="G359" s="51"/>
      <c r="H359" s="2" t="s">
        <v>301</v>
      </c>
      <c r="I359" s="9">
        <v>668</v>
      </c>
      <c r="J359" s="11">
        <v>7</v>
      </c>
      <c r="K359" s="11">
        <v>7</v>
      </c>
      <c r="L359" s="57" t="s">
        <v>230</v>
      </c>
      <c r="M359" s="58" t="s">
        <v>220</v>
      </c>
      <c r="N359" s="58" t="s">
        <v>221</v>
      </c>
      <c r="O359" s="58" t="s">
        <v>437</v>
      </c>
      <c r="P359" s="7">
        <v>610</v>
      </c>
      <c r="Q359" s="124">
        <v>296</v>
      </c>
      <c r="R359" s="124">
        <v>159.2</v>
      </c>
      <c r="S359" s="124">
        <v>160</v>
      </c>
    </row>
    <row r="360" spans="1:19" ht="31.5">
      <c r="A360" s="59"/>
      <c r="B360" s="60"/>
      <c r="C360" s="68"/>
      <c r="D360" s="73"/>
      <c r="E360" s="76"/>
      <c r="F360" s="76"/>
      <c r="G360" s="51"/>
      <c r="H360" s="2" t="s">
        <v>281</v>
      </c>
      <c r="I360" s="5">
        <v>668</v>
      </c>
      <c r="J360" s="11">
        <v>7</v>
      </c>
      <c r="K360" s="11">
        <v>7</v>
      </c>
      <c r="L360" s="57" t="s">
        <v>230</v>
      </c>
      <c r="M360" s="58" t="s">
        <v>220</v>
      </c>
      <c r="N360" s="58" t="s">
        <v>236</v>
      </c>
      <c r="O360" s="58" t="s">
        <v>261</v>
      </c>
      <c r="P360" s="7"/>
      <c r="Q360" s="124">
        <f>Q361</f>
        <v>70</v>
      </c>
      <c r="R360" s="124">
        <f>R361</f>
        <v>60</v>
      </c>
      <c r="S360" s="124">
        <f>S361</f>
        <v>60</v>
      </c>
    </row>
    <row r="361" spans="1:19" ht="18.75">
      <c r="A361" s="59"/>
      <c r="B361" s="60"/>
      <c r="C361" s="68"/>
      <c r="D361" s="73"/>
      <c r="E361" s="76"/>
      <c r="F361" s="76"/>
      <c r="G361" s="51"/>
      <c r="H361" s="2" t="s">
        <v>438</v>
      </c>
      <c r="I361" s="9">
        <v>668</v>
      </c>
      <c r="J361" s="11">
        <v>7</v>
      </c>
      <c r="K361" s="11">
        <v>7</v>
      </c>
      <c r="L361" s="57" t="s">
        <v>230</v>
      </c>
      <c r="M361" s="58" t="s">
        <v>220</v>
      </c>
      <c r="N361" s="58" t="s">
        <v>236</v>
      </c>
      <c r="O361" s="58" t="s">
        <v>437</v>
      </c>
      <c r="P361" s="7"/>
      <c r="Q361" s="124">
        <f>Q362+Q363</f>
        <v>70</v>
      </c>
      <c r="R361" s="124">
        <f>R362+R363</f>
        <v>60</v>
      </c>
      <c r="S361" s="124">
        <f>S362+S363</f>
        <v>60</v>
      </c>
    </row>
    <row r="362" spans="1:19" ht="18.75" hidden="1">
      <c r="A362" s="59"/>
      <c r="B362" s="60"/>
      <c r="C362" s="76"/>
      <c r="D362" s="73"/>
      <c r="E362" s="76"/>
      <c r="F362" s="76"/>
      <c r="G362" s="51"/>
      <c r="H362" s="2" t="s">
        <v>299</v>
      </c>
      <c r="I362" s="9">
        <v>668</v>
      </c>
      <c r="J362" s="11">
        <v>7</v>
      </c>
      <c r="K362" s="11">
        <v>7</v>
      </c>
      <c r="L362" s="57" t="s">
        <v>230</v>
      </c>
      <c r="M362" s="58" t="s">
        <v>220</v>
      </c>
      <c r="N362" s="58" t="s">
        <v>236</v>
      </c>
      <c r="O362" s="58" t="s">
        <v>437</v>
      </c>
      <c r="P362" s="7">
        <v>240</v>
      </c>
      <c r="Q362" s="124"/>
      <c r="R362" s="124"/>
      <c r="S362" s="124"/>
    </row>
    <row r="363" spans="1:19" ht="18.75">
      <c r="A363" s="59"/>
      <c r="B363" s="60"/>
      <c r="C363" s="76"/>
      <c r="D363" s="73"/>
      <c r="E363" s="76"/>
      <c r="F363" s="76"/>
      <c r="G363" s="51"/>
      <c r="H363" s="2" t="s">
        <v>301</v>
      </c>
      <c r="I363" s="9">
        <v>668</v>
      </c>
      <c r="J363" s="11">
        <v>7</v>
      </c>
      <c r="K363" s="11">
        <v>7</v>
      </c>
      <c r="L363" s="57" t="s">
        <v>230</v>
      </c>
      <c r="M363" s="58" t="s">
        <v>220</v>
      </c>
      <c r="N363" s="58" t="s">
        <v>236</v>
      </c>
      <c r="O363" s="58" t="s">
        <v>437</v>
      </c>
      <c r="P363" s="7">
        <v>610</v>
      </c>
      <c r="Q363" s="124">
        <v>70</v>
      </c>
      <c r="R363" s="124">
        <v>60</v>
      </c>
      <c r="S363" s="124">
        <v>60</v>
      </c>
    </row>
    <row r="364" spans="1:19" ht="31.5">
      <c r="A364" s="61"/>
      <c r="B364" s="60"/>
      <c r="C364" s="59"/>
      <c r="D364" s="461">
        <v>5220000</v>
      </c>
      <c r="E364" s="462"/>
      <c r="F364" s="462"/>
      <c r="G364" s="51">
        <v>622</v>
      </c>
      <c r="H364" s="2" t="s">
        <v>551</v>
      </c>
      <c r="I364" s="9">
        <v>668</v>
      </c>
      <c r="J364" s="11">
        <v>7</v>
      </c>
      <c r="K364" s="11">
        <v>7</v>
      </c>
      <c r="L364" s="57" t="s">
        <v>230</v>
      </c>
      <c r="M364" s="58" t="s">
        <v>220</v>
      </c>
      <c r="N364" s="58" t="s">
        <v>237</v>
      </c>
      <c r="O364" s="58" t="s">
        <v>261</v>
      </c>
      <c r="P364" s="7"/>
      <c r="Q364" s="124">
        <f>Q365</f>
        <v>150</v>
      </c>
      <c r="R364" s="124">
        <f>R365</f>
        <v>100</v>
      </c>
      <c r="S364" s="124">
        <f>S365</f>
        <v>100</v>
      </c>
    </row>
    <row r="365" spans="1:19" ht="18.75">
      <c r="A365" s="59"/>
      <c r="B365" s="60"/>
      <c r="C365" s="68"/>
      <c r="D365" s="73"/>
      <c r="E365" s="76"/>
      <c r="F365" s="76"/>
      <c r="G365" s="51"/>
      <c r="H365" s="2" t="s">
        <v>438</v>
      </c>
      <c r="I365" s="5">
        <v>668</v>
      </c>
      <c r="J365" s="11">
        <v>7</v>
      </c>
      <c r="K365" s="11">
        <v>7</v>
      </c>
      <c r="L365" s="57" t="s">
        <v>230</v>
      </c>
      <c r="M365" s="58" t="s">
        <v>220</v>
      </c>
      <c r="N365" s="58" t="s">
        <v>237</v>
      </c>
      <c r="O365" s="58" t="s">
        <v>437</v>
      </c>
      <c r="P365" s="7"/>
      <c r="Q365" s="124">
        <f>Q366+Q367</f>
        <v>150</v>
      </c>
      <c r="R365" s="124">
        <f>R366+R367</f>
        <v>100</v>
      </c>
      <c r="S365" s="124">
        <f>S366+S367</f>
        <v>100</v>
      </c>
    </row>
    <row r="366" spans="1:19" ht="18.75" hidden="1">
      <c r="A366" s="59"/>
      <c r="B366" s="60"/>
      <c r="C366" s="68"/>
      <c r="D366" s="73"/>
      <c r="E366" s="76"/>
      <c r="F366" s="76"/>
      <c r="G366" s="51"/>
      <c r="H366" s="2" t="s">
        <v>299</v>
      </c>
      <c r="I366" s="9">
        <v>668</v>
      </c>
      <c r="J366" s="11">
        <v>7</v>
      </c>
      <c r="K366" s="11">
        <v>7</v>
      </c>
      <c r="L366" s="57" t="s">
        <v>230</v>
      </c>
      <c r="M366" s="58" t="s">
        <v>220</v>
      </c>
      <c r="N366" s="58" t="s">
        <v>237</v>
      </c>
      <c r="O366" s="58" t="s">
        <v>437</v>
      </c>
      <c r="P366" s="7">
        <v>240</v>
      </c>
      <c r="Q366" s="124"/>
      <c r="R366" s="130"/>
      <c r="S366" s="130"/>
    </row>
    <row r="367" spans="1:19" ht="18.75">
      <c r="A367" s="59"/>
      <c r="B367" s="60"/>
      <c r="C367" s="76"/>
      <c r="D367" s="73"/>
      <c r="E367" s="76"/>
      <c r="F367" s="76"/>
      <c r="G367" s="51"/>
      <c r="H367" s="2" t="s">
        <v>301</v>
      </c>
      <c r="I367" s="9">
        <v>668</v>
      </c>
      <c r="J367" s="11">
        <v>7</v>
      </c>
      <c r="K367" s="11">
        <v>7</v>
      </c>
      <c r="L367" s="57" t="s">
        <v>230</v>
      </c>
      <c r="M367" s="58" t="s">
        <v>220</v>
      </c>
      <c r="N367" s="58" t="s">
        <v>237</v>
      </c>
      <c r="O367" s="58" t="s">
        <v>437</v>
      </c>
      <c r="P367" s="7">
        <v>610</v>
      </c>
      <c r="Q367" s="124">
        <v>150</v>
      </c>
      <c r="R367" s="130">
        <v>100</v>
      </c>
      <c r="S367" s="130">
        <v>100</v>
      </c>
    </row>
    <row r="368" spans="1:19" ht="18.75">
      <c r="A368" s="59"/>
      <c r="B368" s="60"/>
      <c r="C368" s="76"/>
      <c r="D368" s="73"/>
      <c r="E368" s="76"/>
      <c r="F368" s="76"/>
      <c r="G368" s="51"/>
      <c r="H368" s="2" t="s">
        <v>1113</v>
      </c>
      <c r="I368" s="9">
        <v>668</v>
      </c>
      <c r="J368" s="11">
        <v>7</v>
      </c>
      <c r="K368" s="11">
        <v>7</v>
      </c>
      <c r="L368" s="57" t="s">
        <v>230</v>
      </c>
      <c r="M368" s="58" t="s">
        <v>220</v>
      </c>
      <c r="N368" s="58" t="s">
        <v>223</v>
      </c>
      <c r="O368" s="58" t="s">
        <v>261</v>
      </c>
      <c r="P368" s="7"/>
      <c r="Q368" s="124">
        <f aca="true" t="shared" si="42" ref="Q368:S369">Q369</f>
        <v>370</v>
      </c>
      <c r="R368" s="124">
        <f t="shared" si="42"/>
        <v>0</v>
      </c>
      <c r="S368" s="124">
        <f t="shared" si="42"/>
        <v>0</v>
      </c>
    </row>
    <row r="369" spans="1:19" ht="18.75">
      <c r="A369" s="59"/>
      <c r="B369" s="60"/>
      <c r="C369" s="76"/>
      <c r="D369" s="73"/>
      <c r="E369" s="76"/>
      <c r="F369" s="76"/>
      <c r="G369" s="51"/>
      <c r="H369" s="2" t="s">
        <v>1112</v>
      </c>
      <c r="I369" s="9">
        <v>668</v>
      </c>
      <c r="J369" s="11">
        <v>7</v>
      </c>
      <c r="K369" s="11">
        <v>7</v>
      </c>
      <c r="L369" s="57" t="s">
        <v>230</v>
      </c>
      <c r="M369" s="58" t="s">
        <v>220</v>
      </c>
      <c r="N369" s="58" t="s">
        <v>223</v>
      </c>
      <c r="O369" s="58" t="s">
        <v>1111</v>
      </c>
      <c r="P369" s="7"/>
      <c r="Q369" s="124">
        <f t="shared" si="42"/>
        <v>370</v>
      </c>
      <c r="R369" s="124">
        <f t="shared" si="42"/>
        <v>0</v>
      </c>
      <c r="S369" s="124">
        <f t="shared" si="42"/>
        <v>0</v>
      </c>
    </row>
    <row r="370" spans="1:19" ht="18.75">
      <c r="A370" s="59"/>
      <c r="B370" s="60"/>
      <c r="C370" s="76"/>
      <c r="D370" s="73"/>
      <c r="E370" s="76"/>
      <c r="F370" s="76"/>
      <c r="G370" s="51"/>
      <c r="H370" s="2" t="s">
        <v>301</v>
      </c>
      <c r="I370" s="9">
        <v>668</v>
      </c>
      <c r="J370" s="11">
        <v>7</v>
      </c>
      <c r="K370" s="11">
        <v>7</v>
      </c>
      <c r="L370" s="57" t="s">
        <v>230</v>
      </c>
      <c r="M370" s="58" t="s">
        <v>220</v>
      </c>
      <c r="N370" s="58" t="s">
        <v>223</v>
      </c>
      <c r="O370" s="58" t="s">
        <v>1111</v>
      </c>
      <c r="P370" s="7">
        <v>610</v>
      </c>
      <c r="Q370" s="124">
        <v>370</v>
      </c>
      <c r="R370" s="130">
        <v>0</v>
      </c>
      <c r="S370" s="130">
        <v>0</v>
      </c>
    </row>
    <row r="371" spans="1:19" s="113" customFormat="1" ht="19.5">
      <c r="A371" s="89"/>
      <c r="B371" s="90"/>
      <c r="C371" s="106"/>
      <c r="D371" s="128"/>
      <c r="E371" s="106"/>
      <c r="F371" s="106"/>
      <c r="G371" s="84"/>
      <c r="H371" s="227" t="s">
        <v>258</v>
      </c>
      <c r="I371" s="251">
        <v>668</v>
      </c>
      <c r="J371" s="86">
        <v>8</v>
      </c>
      <c r="K371" s="86" t="s">
        <v>262</v>
      </c>
      <c r="L371" s="87"/>
      <c r="M371" s="88"/>
      <c r="N371" s="88"/>
      <c r="O371" s="88"/>
      <c r="P371" s="85"/>
      <c r="Q371" s="123">
        <f aca="true" t="shared" si="43" ref="Q371:S372">Q372</f>
        <v>40565.1</v>
      </c>
      <c r="R371" s="123">
        <f t="shared" si="43"/>
        <v>35905.5</v>
      </c>
      <c r="S371" s="123">
        <f t="shared" si="43"/>
        <v>37504.5</v>
      </c>
    </row>
    <row r="372" spans="1:19" s="113" customFormat="1" ht="19.5">
      <c r="A372" s="89"/>
      <c r="B372" s="90"/>
      <c r="C372" s="89"/>
      <c r="D372" s="467">
        <v>5220000</v>
      </c>
      <c r="E372" s="468"/>
      <c r="F372" s="468"/>
      <c r="G372" s="84">
        <v>622</v>
      </c>
      <c r="H372" s="227" t="s">
        <v>82</v>
      </c>
      <c r="I372" s="251">
        <v>668</v>
      </c>
      <c r="J372" s="86">
        <v>8</v>
      </c>
      <c r="K372" s="86">
        <v>1</v>
      </c>
      <c r="L372" s="87"/>
      <c r="M372" s="88"/>
      <c r="N372" s="88"/>
      <c r="O372" s="88"/>
      <c r="P372" s="85"/>
      <c r="Q372" s="123">
        <f>Q373+Q398+Q394</f>
        <v>40565.1</v>
      </c>
      <c r="R372" s="123">
        <f t="shared" si="43"/>
        <v>35905.5</v>
      </c>
      <c r="S372" s="123">
        <f t="shared" si="43"/>
        <v>37504.5</v>
      </c>
    </row>
    <row r="373" spans="1:19" ht="18.75">
      <c r="A373" s="59"/>
      <c r="B373" s="60"/>
      <c r="C373" s="68"/>
      <c r="D373" s="73"/>
      <c r="E373" s="76"/>
      <c r="F373" s="76"/>
      <c r="G373" s="51"/>
      <c r="H373" s="2" t="s">
        <v>549</v>
      </c>
      <c r="I373" s="5">
        <v>668</v>
      </c>
      <c r="J373" s="11">
        <v>8</v>
      </c>
      <c r="K373" s="11">
        <v>1</v>
      </c>
      <c r="L373" s="57" t="s">
        <v>219</v>
      </c>
      <c r="M373" s="58" t="s">
        <v>220</v>
      </c>
      <c r="N373" s="58" t="s">
        <v>229</v>
      </c>
      <c r="O373" s="58" t="s">
        <v>261</v>
      </c>
      <c r="P373" s="7"/>
      <c r="Q373" s="124">
        <f>Q374+Q383+Q388</f>
        <v>40496.1</v>
      </c>
      <c r="R373" s="124">
        <f>R374+R383+R388</f>
        <v>35905.5</v>
      </c>
      <c r="S373" s="124">
        <f>S374+S383+S388</f>
        <v>37504.5</v>
      </c>
    </row>
    <row r="374" spans="1:19" ht="31.5">
      <c r="A374" s="59"/>
      <c r="B374" s="60"/>
      <c r="C374" s="68"/>
      <c r="D374" s="73"/>
      <c r="E374" s="76"/>
      <c r="F374" s="76"/>
      <c r="G374" s="51"/>
      <c r="H374" s="2" t="s">
        <v>552</v>
      </c>
      <c r="I374" s="9">
        <v>668</v>
      </c>
      <c r="J374" s="11">
        <v>8</v>
      </c>
      <c r="K374" s="11">
        <v>1</v>
      </c>
      <c r="L374" s="57" t="s">
        <v>219</v>
      </c>
      <c r="M374" s="58" t="s">
        <v>220</v>
      </c>
      <c r="N374" s="58" t="s">
        <v>221</v>
      </c>
      <c r="O374" s="58" t="s">
        <v>261</v>
      </c>
      <c r="P374" s="7"/>
      <c r="Q374" s="124">
        <f>Q375+Q377+Q379+Q381</f>
        <v>16692.8</v>
      </c>
      <c r="R374" s="124">
        <f>R375+R377+R379+R381</f>
        <v>15947.099999999999</v>
      </c>
      <c r="S374" s="124">
        <f>S375+S377+S379+S381</f>
        <v>16820.8</v>
      </c>
    </row>
    <row r="375" spans="1:19" ht="18.75">
      <c r="A375" s="59"/>
      <c r="B375" s="60"/>
      <c r="C375" s="76"/>
      <c r="D375" s="73"/>
      <c r="E375" s="76"/>
      <c r="F375" s="76"/>
      <c r="G375" s="51"/>
      <c r="H375" s="2" t="s">
        <v>36</v>
      </c>
      <c r="I375" s="9">
        <v>668</v>
      </c>
      <c r="J375" s="11">
        <v>8</v>
      </c>
      <c r="K375" s="11">
        <v>1</v>
      </c>
      <c r="L375" s="57" t="s">
        <v>219</v>
      </c>
      <c r="M375" s="58" t="s">
        <v>220</v>
      </c>
      <c r="N375" s="58" t="s">
        <v>221</v>
      </c>
      <c r="O375" s="58" t="s">
        <v>35</v>
      </c>
      <c r="P375" s="7"/>
      <c r="Q375" s="124">
        <f>Q376</f>
        <v>9922.5</v>
      </c>
      <c r="R375" s="124">
        <f>R376</f>
        <v>10265.9</v>
      </c>
      <c r="S375" s="124">
        <f>S376</f>
        <v>10460.5</v>
      </c>
    </row>
    <row r="376" spans="1:19" ht="18.75">
      <c r="A376" s="61"/>
      <c r="B376" s="60"/>
      <c r="C376" s="59"/>
      <c r="D376" s="461">
        <v>5220000</v>
      </c>
      <c r="E376" s="462"/>
      <c r="F376" s="462"/>
      <c r="G376" s="51">
        <v>622</v>
      </c>
      <c r="H376" s="2" t="s">
        <v>301</v>
      </c>
      <c r="I376" s="9">
        <v>668</v>
      </c>
      <c r="J376" s="11">
        <v>8</v>
      </c>
      <c r="K376" s="11">
        <v>1</v>
      </c>
      <c r="L376" s="57" t="s">
        <v>219</v>
      </c>
      <c r="M376" s="58" t="s">
        <v>220</v>
      </c>
      <c r="N376" s="58" t="s">
        <v>221</v>
      </c>
      <c r="O376" s="58" t="s">
        <v>35</v>
      </c>
      <c r="P376" s="7">
        <v>610</v>
      </c>
      <c r="Q376" s="124">
        <f>11807-1839.5-45</f>
        <v>9922.5</v>
      </c>
      <c r="R376" s="124">
        <v>10265.9</v>
      </c>
      <c r="S376" s="124">
        <v>10460.5</v>
      </c>
    </row>
    <row r="377" spans="1:19" ht="31.5">
      <c r="A377" s="59"/>
      <c r="B377" s="60"/>
      <c r="C377" s="68"/>
      <c r="D377" s="73"/>
      <c r="E377" s="76"/>
      <c r="F377" s="76"/>
      <c r="G377" s="51"/>
      <c r="H377" s="2" t="s">
        <v>374</v>
      </c>
      <c r="I377" s="5">
        <v>668</v>
      </c>
      <c r="J377" s="11">
        <v>8</v>
      </c>
      <c r="K377" s="11">
        <v>1</v>
      </c>
      <c r="L377" s="57" t="s">
        <v>219</v>
      </c>
      <c r="M377" s="58" t="s">
        <v>220</v>
      </c>
      <c r="N377" s="58" t="s">
        <v>221</v>
      </c>
      <c r="O377" s="58" t="s">
        <v>373</v>
      </c>
      <c r="P377" s="7"/>
      <c r="Q377" s="124">
        <f>Q378</f>
        <v>4992</v>
      </c>
      <c r="R377" s="124">
        <f>R378</f>
        <v>5681.2</v>
      </c>
      <c r="S377" s="124">
        <f>S378</f>
        <v>6360.3</v>
      </c>
    </row>
    <row r="378" spans="1:19" ht="18.75">
      <c r="A378" s="59"/>
      <c r="B378" s="60"/>
      <c r="C378" s="68"/>
      <c r="D378" s="73"/>
      <c r="E378" s="76"/>
      <c r="F378" s="76"/>
      <c r="G378" s="51"/>
      <c r="H378" s="2" t="s">
        <v>301</v>
      </c>
      <c r="I378" s="9">
        <v>668</v>
      </c>
      <c r="J378" s="11">
        <v>8</v>
      </c>
      <c r="K378" s="11">
        <v>1</v>
      </c>
      <c r="L378" s="57" t="s">
        <v>219</v>
      </c>
      <c r="M378" s="58" t="s">
        <v>220</v>
      </c>
      <c r="N378" s="58" t="s">
        <v>221</v>
      </c>
      <c r="O378" s="58" t="s">
        <v>373</v>
      </c>
      <c r="P378" s="7">
        <v>610</v>
      </c>
      <c r="Q378" s="124">
        <v>4992</v>
      </c>
      <c r="R378" s="130">
        <v>5681.2</v>
      </c>
      <c r="S378" s="130">
        <v>6360.3</v>
      </c>
    </row>
    <row r="379" spans="1:19" ht="31.5">
      <c r="A379" s="59"/>
      <c r="B379" s="60"/>
      <c r="C379" s="76"/>
      <c r="D379" s="73"/>
      <c r="E379" s="76"/>
      <c r="F379" s="76"/>
      <c r="G379" s="51"/>
      <c r="H379" s="2" t="s">
        <v>553</v>
      </c>
      <c r="I379" s="9">
        <v>668</v>
      </c>
      <c r="J379" s="11">
        <v>8</v>
      </c>
      <c r="K379" s="11">
        <v>1</v>
      </c>
      <c r="L379" s="57" t="s">
        <v>219</v>
      </c>
      <c r="M379" s="58" t="s">
        <v>220</v>
      </c>
      <c r="N379" s="58" t="s">
        <v>221</v>
      </c>
      <c r="O379" s="58" t="s">
        <v>499</v>
      </c>
      <c r="P379" s="7"/>
      <c r="Q379" s="124">
        <f>Q380</f>
        <v>1778.3</v>
      </c>
      <c r="R379" s="124">
        <f>R380</f>
        <v>0</v>
      </c>
      <c r="S379" s="124">
        <f>S380</f>
        <v>0</v>
      </c>
    </row>
    <row r="380" spans="1:19" ht="18.75">
      <c r="A380" s="61"/>
      <c r="B380" s="60"/>
      <c r="C380" s="59"/>
      <c r="D380" s="461">
        <v>5220000</v>
      </c>
      <c r="E380" s="462"/>
      <c r="F380" s="462"/>
      <c r="G380" s="51">
        <v>622</v>
      </c>
      <c r="H380" s="2" t="s">
        <v>301</v>
      </c>
      <c r="I380" s="9">
        <v>668</v>
      </c>
      <c r="J380" s="11">
        <v>8</v>
      </c>
      <c r="K380" s="11">
        <v>1</v>
      </c>
      <c r="L380" s="57" t="s">
        <v>219</v>
      </c>
      <c r="M380" s="58" t="s">
        <v>220</v>
      </c>
      <c r="N380" s="58" t="s">
        <v>221</v>
      </c>
      <c r="O380" s="58" t="s">
        <v>499</v>
      </c>
      <c r="P380" s="7">
        <v>610</v>
      </c>
      <c r="Q380" s="124">
        <v>1778.3</v>
      </c>
      <c r="R380" s="124">
        <v>0</v>
      </c>
      <c r="S380" s="124">
        <v>0</v>
      </c>
    </row>
    <row r="381" spans="1:19" ht="18.75" hidden="1">
      <c r="A381" s="59"/>
      <c r="B381" s="60"/>
      <c r="C381" s="68"/>
      <c r="D381" s="73"/>
      <c r="E381" s="76"/>
      <c r="F381" s="76"/>
      <c r="G381" s="51"/>
      <c r="H381" s="2" t="s">
        <v>554</v>
      </c>
      <c r="I381" s="5">
        <v>668</v>
      </c>
      <c r="J381" s="11">
        <v>8</v>
      </c>
      <c r="K381" s="11">
        <v>1</v>
      </c>
      <c r="L381" s="57" t="s">
        <v>219</v>
      </c>
      <c r="M381" s="58" t="s">
        <v>220</v>
      </c>
      <c r="N381" s="58" t="s">
        <v>221</v>
      </c>
      <c r="O381" s="58" t="s">
        <v>500</v>
      </c>
      <c r="P381" s="7"/>
      <c r="Q381" s="124">
        <f>Q382</f>
        <v>0</v>
      </c>
      <c r="R381" s="124">
        <f>R382</f>
        <v>0</v>
      </c>
      <c r="S381" s="124">
        <f>S382</f>
        <v>0</v>
      </c>
    </row>
    <row r="382" spans="1:19" ht="18.75" hidden="1">
      <c r="A382" s="59"/>
      <c r="B382" s="60"/>
      <c r="C382" s="68"/>
      <c r="D382" s="73"/>
      <c r="E382" s="76"/>
      <c r="F382" s="76"/>
      <c r="G382" s="51"/>
      <c r="H382" s="2" t="s">
        <v>301</v>
      </c>
      <c r="I382" s="9">
        <v>668</v>
      </c>
      <c r="J382" s="11">
        <v>8</v>
      </c>
      <c r="K382" s="11">
        <v>1</v>
      </c>
      <c r="L382" s="57" t="s">
        <v>219</v>
      </c>
      <c r="M382" s="58" t="s">
        <v>220</v>
      </c>
      <c r="N382" s="58" t="s">
        <v>221</v>
      </c>
      <c r="O382" s="58" t="s">
        <v>500</v>
      </c>
      <c r="P382" s="7">
        <v>610</v>
      </c>
      <c r="Q382" s="124"/>
      <c r="R382" s="130"/>
      <c r="S382" s="130"/>
    </row>
    <row r="383" spans="1:19" ht="31.5">
      <c r="A383" s="59"/>
      <c r="B383" s="60"/>
      <c r="C383" s="76"/>
      <c r="D383" s="73"/>
      <c r="E383" s="76"/>
      <c r="F383" s="76"/>
      <c r="G383" s="51"/>
      <c r="H383" s="2" t="s">
        <v>284</v>
      </c>
      <c r="I383" s="9">
        <v>668</v>
      </c>
      <c r="J383" s="11">
        <v>8</v>
      </c>
      <c r="K383" s="11">
        <v>1</v>
      </c>
      <c r="L383" s="57" t="s">
        <v>219</v>
      </c>
      <c r="M383" s="58" t="s">
        <v>220</v>
      </c>
      <c r="N383" s="58" t="s">
        <v>236</v>
      </c>
      <c r="O383" s="58" t="s">
        <v>261</v>
      </c>
      <c r="P383" s="7"/>
      <c r="Q383" s="124">
        <f>Q384+Q386</f>
        <v>18588.2</v>
      </c>
      <c r="R383" s="124">
        <f>R384+R386</f>
        <v>19458.4</v>
      </c>
      <c r="S383" s="124">
        <f>S384+S386</f>
        <v>20433.7</v>
      </c>
    </row>
    <row r="384" spans="1:19" ht="18.75">
      <c r="A384" s="61"/>
      <c r="B384" s="60"/>
      <c r="C384" s="59"/>
      <c r="D384" s="461">
        <v>5220000</v>
      </c>
      <c r="E384" s="462"/>
      <c r="F384" s="462"/>
      <c r="G384" s="51">
        <v>622</v>
      </c>
      <c r="H384" s="2" t="s">
        <v>8</v>
      </c>
      <c r="I384" s="9">
        <v>668</v>
      </c>
      <c r="J384" s="11">
        <v>8</v>
      </c>
      <c r="K384" s="11">
        <v>1</v>
      </c>
      <c r="L384" s="57" t="s">
        <v>219</v>
      </c>
      <c r="M384" s="58" t="s">
        <v>220</v>
      </c>
      <c r="N384" s="58" t="s">
        <v>236</v>
      </c>
      <c r="O384" s="58" t="s">
        <v>9</v>
      </c>
      <c r="P384" s="7"/>
      <c r="Q384" s="124">
        <f>Q385</f>
        <v>12599.7</v>
      </c>
      <c r="R384" s="124">
        <f>R385</f>
        <v>12816.5</v>
      </c>
      <c r="S384" s="124">
        <f>S385</f>
        <v>13018.2</v>
      </c>
    </row>
    <row r="385" spans="1:19" ht="18.75">
      <c r="A385" s="59"/>
      <c r="B385" s="60"/>
      <c r="C385" s="68"/>
      <c r="D385" s="73"/>
      <c r="E385" s="76"/>
      <c r="F385" s="76"/>
      <c r="G385" s="51"/>
      <c r="H385" s="2" t="s">
        <v>301</v>
      </c>
      <c r="I385" s="5">
        <v>668</v>
      </c>
      <c r="J385" s="11">
        <v>8</v>
      </c>
      <c r="K385" s="11">
        <v>1</v>
      </c>
      <c r="L385" s="57" t="s">
        <v>219</v>
      </c>
      <c r="M385" s="58" t="s">
        <v>220</v>
      </c>
      <c r="N385" s="58" t="s">
        <v>236</v>
      </c>
      <c r="O385" s="58" t="s">
        <v>9</v>
      </c>
      <c r="P385" s="7">
        <v>610</v>
      </c>
      <c r="Q385" s="124">
        <f>11599.7+1000</f>
        <v>12599.7</v>
      </c>
      <c r="R385" s="124">
        <v>12816.5</v>
      </c>
      <c r="S385" s="124">
        <v>13018.2</v>
      </c>
    </row>
    <row r="386" spans="1:19" ht="31.5">
      <c r="A386" s="59"/>
      <c r="B386" s="60"/>
      <c r="C386" s="68"/>
      <c r="D386" s="73"/>
      <c r="E386" s="76"/>
      <c r="F386" s="76"/>
      <c r="G386" s="51"/>
      <c r="H386" s="2" t="s">
        <v>374</v>
      </c>
      <c r="I386" s="5">
        <v>668</v>
      </c>
      <c r="J386" s="11">
        <v>8</v>
      </c>
      <c r="K386" s="11">
        <v>1</v>
      </c>
      <c r="L386" s="57" t="s">
        <v>219</v>
      </c>
      <c r="M386" s="58" t="s">
        <v>220</v>
      </c>
      <c r="N386" s="58" t="s">
        <v>236</v>
      </c>
      <c r="O386" s="58" t="s">
        <v>373</v>
      </c>
      <c r="P386" s="7"/>
      <c r="Q386" s="124">
        <f>Q387</f>
        <v>5988.5</v>
      </c>
      <c r="R386" s="124">
        <f>R387</f>
        <v>6641.9</v>
      </c>
      <c r="S386" s="124">
        <f>S387</f>
        <v>7415.5</v>
      </c>
    </row>
    <row r="387" spans="1:19" ht="18.75">
      <c r="A387" s="59"/>
      <c r="B387" s="60"/>
      <c r="C387" s="68"/>
      <c r="D387" s="73"/>
      <c r="E387" s="76"/>
      <c r="F387" s="76"/>
      <c r="G387" s="51"/>
      <c r="H387" s="2" t="s">
        <v>301</v>
      </c>
      <c r="I387" s="9">
        <v>668</v>
      </c>
      <c r="J387" s="11">
        <v>8</v>
      </c>
      <c r="K387" s="11">
        <v>1</v>
      </c>
      <c r="L387" s="57" t="s">
        <v>219</v>
      </c>
      <c r="M387" s="58" t="s">
        <v>220</v>
      </c>
      <c r="N387" s="58" t="s">
        <v>236</v>
      </c>
      <c r="O387" s="58" t="s">
        <v>373</v>
      </c>
      <c r="P387" s="7">
        <v>610</v>
      </c>
      <c r="Q387" s="124">
        <v>5988.5</v>
      </c>
      <c r="R387" s="130">
        <v>6641.9</v>
      </c>
      <c r="S387" s="130">
        <v>7415.5</v>
      </c>
    </row>
    <row r="388" spans="1:19" ht="31.5">
      <c r="A388" s="59"/>
      <c r="B388" s="60"/>
      <c r="C388" s="76"/>
      <c r="D388" s="73"/>
      <c r="E388" s="76"/>
      <c r="F388" s="76"/>
      <c r="G388" s="51"/>
      <c r="H388" s="2" t="s">
        <v>555</v>
      </c>
      <c r="I388" s="9">
        <v>668</v>
      </c>
      <c r="J388" s="11">
        <v>8</v>
      </c>
      <c r="K388" s="11">
        <v>1</v>
      </c>
      <c r="L388" s="57" t="s">
        <v>219</v>
      </c>
      <c r="M388" s="58" t="s">
        <v>220</v>
      </c>
      <c r="N388" s="58" t="s">
        <v>237</v>
      </c>
      <c r="O388" s="58" t="s">
        <v>261</v>
      </c>
      <c r="P388" s="7"/>
      <c r="Q388" s="124">
        <f>Q389+Q392</f>
        <v>5215.1</v>
      </c>
      <c r="R388" s="124">
        <f>R389+R392</f>
        <v>500</v>
      </c>
      <c r="S388" s="124">
        <f>S389+S392</f>
        <v>250</v>
      </c>
    </row>
    <row r="389" spans="1:19" ht="18.75">
      <c r="A389" s="61"/>
      <c r="B389" s="60"/>
      <c r="C389" s="59"/>
      <c r="D389" s="461">
        <v>5220000</v>
      </c>
      <c r="E389" s="462"/>
      <c r="F389" s="462"/>
      <c r="G389" s="51">
        <v>622</v>
      </c>
      <c r="H389" s="2" t="s">
        <v>8</v>
      </c>
      <c r="I389" s="9">
        <v>668</v>
      </c>
      <c r="J389" s="11">
        <v>8</v>
      </c>
      <c r="K389" s="11">
        <v>1</v>
      </c>
      <c r="L389" s="57" t="s">
        <v>219</v>
      </c>
      <c r="M389" s="58" t="s">
        <v>220</v>
      </c>
      <c r="N389" s="58" t="s">
        <v>237</v>
      </c>
      <c r="O389" s="58" t="s">
        <v>9</v>
      </c>
      <c r="P389" s="7"/>
      <c r="Q389" s="124">
        <f>Q390+Q391</f>
        <v>2920</v>
      </c>
      <c r="R389" s="124">
        <f>R390+R391</f>
        <v>500</v>
      </c>
      <c r="S389" s="124">
        <f>S390+S391</f>
        <v>250</v>
      </c>
    </row>
    <row r="390" spans="1:19" ht="18.75">
      <c r="A390" s="61"/>
      <c r="B390" s="60"/>
      <c r="C390" s="76"/>
      <c r="D390" s="69"/>
      <c r="E390" s="64"/>
      <c r="F390" s="64"/>
      <c r="G390" s="51"/>
      <c r="H390" s="2" t="s">
        <v>299</v>
      </c>
      <c r="I390" s="9">
        <v>668</v>
      </c>
      <c r="J390" s="11">
        <v>8</v>
      </c>
      <c r="K390" s="11">
        <v>1</v>
      </c>
      <c r="L390" s="57" t="s">
        <v>219</v>
      </c>
      <c r="M390" s="58" t="s">
        <v>220</v>
      </c>
      <c r="N390" s="58" t="s">
        <v>237</v>
      </c>
      <c r="O390" s="58" t="s">
        <v>9</v>
      </c>
      <c r="P390" s="7">
        <v>240</v>
      </c>
      <c r="Q390" s="124">
        <v>2200</v>
      </c>
      <c r="R390" s="124">
        <v>0</v>
      </c>
      <c r="S390" s="124">
        <v>0</v>
      </c>
    </row>
    <row r="391" spans="1:19" ht="18.75">
      <c r="A391" s="59"/>
      <c r="B391" s="60"/>
      <c r="C391" s="68"/>
      <c r="D391" s="73"/>
      <c r="E391" s="76"/>
      <c r="F391" s="76"/>
      <c r="G391" s="51"/>
      <c r="H391" s="2" t="s">
        <v>301</v>
      </c>
      <c r="I391" s="5">
        <v>668</v>
      </c>
      <c r="J391" s="11">
        <v>8</v>
      </c>
      <c r="K391" s="11">
        <v>1</v>
      </c>
      <c r="L391" s="57" t="s">
        <v>219</v>
      </c>
      <c r="M391" s="58" t="s">
        <v>220</v>
      </c>
      <c r="N391" s="58" t="s">
        <v>237</v>
      </c>
      <c r="O391" s="58" t="s">
        <v>9</v>
      </c>
      <c r="P391" s="7">
        <v>610</v>
      </c>
      <c r="Q391" s="124">
        <f>500+220</f>
        <v>720</v>
      </c>
      <c r="R391" s="124">
        <v>500</v>
      </c>
      <c r="S391" s="124">
        <v>250</v>
      </c>
    </row>
    <row r="392" spans="1:19" ht="31.5">
      <c r="A392" s="59"/>
      <c r="B392" s="60"/>
      <c r="C392" s="68"/>
      <c r="D392" s="73"/>
      <c r="E392" s="76"/>
      <c r="F392" s="76"/>
      <c r="G392" s="51"/>
      <c r="H392" s="2" t="s">
        <v>553</v>
      </c>
      <c r="I392" s="5">
        <v>668</v>
      </c>
      <c r="J392" s="11">
        <v>8</v>
      </c>
      <c r="K392" s="11">
        <v>1</v>
      </c>
      <c r="L392" s="57" t="s">
        <v>219</v>
      </c>
      <c r="M392" s="58" t="s">
        <v>220</v>
      </c>
      <c r="N392" s="58" t="s">
        <v>237</v>
      </c>
      <c r="O392" s="58" t="s">
        <v>499</v>
      </c>
      <c r="P392" s="7"/>
      <c r="Q392" s="124">
        <f>Q393</f>
        <v>2295.1</v>
      </c>
      <c r="R392" s="124">
        <f>R393</f>
        <v>0</v>
      </c>
      <c r="S392" s="124">
        <f>S393</f>
        <v>0</v>
      </c>
    </row>
    <row r="393" spans="1:19" ht="18.75">
      <c r="A393" s="59"/>
      <c r="B393" s="60"/>
      <c r="C393" s="68"/>
      <c r="D393" s="73"/>
      <c r="E393" s="76"/>
      <c r="F393" s="76"/>
      <c r="G393" s="51"/>
      <c r="H393" s="2" t="s">
        <v>301</v>
      </c>
      <c r="I393" s="9">
        <v>668</v>
      </c>
      <c r="J393" s="11">
        <v>8</v>
      </c>
      <c r="K393" s="11">
        <v>1</v>
      </c>
      <c r="L393" s="57" t="s">
        <v>219</v>
      </c>
      <c r="M393" s="58" t="s">
        <v>220</v>
      </c>
      <c r="N393" s="58" t="s">
        <v>237</v>
      </c>
      <c r="O393" s="58" t="s">
        <v>499</v>
      </c>
      <c r="P393" s="7">
        <v>610</v>
      </c>
      <c r="Q393" s="124">
        <v>2295.1</v>
      </c>
      <c r="R393" s="130">
        <v>0</v>
      </c>
      <c r="S393" s="130">
        <v>0</v>
      </c>
    </row>
    <row r="394" spans="1:19" ht="18.75">
      <c r="A394" s="59"/>
      <c r="B394" s="60"/>
      <c r="C394" s="68"/>
      <c r="D394" s="73"/>
      <c r="E394" s="76"/>
      <c r="F394" s="76"/>
      <c r="G394" s="51"/>
      <c r="H394" s="2" t="s">
        <v>391</v>
      </c>
      <c r="I394" s="5">
        <v>668</v>
      </c>
      <c r="J394" s="11">
        <v>8</v>
      </c>
      <c r="K394" s="11">
        <v>1</v>
      </c>
      <c r="L394" s="57" t="s">
        <v>215</v>
      </c>
      <c r="M394" s="58" t="s">
        <v>216</v>
      </c>
      <c r="N394" s="58" t="s">
        <v>229</v>
      </c>
      <c r="O394" s="58" t="s">
        <v>261</v>
      </c>
      <c r="P394" s="7"/>
      <c r="Q394" s="124">
        <f>Q395</f>
        <v>50</v>
      </c>
      <c r="R394" s="124">
        <f aca="true" t="shared" si="44" ref="R394:S396">R395</f>
        <v>0</v>
      </c>
      <c r="S394" s="124">
        <f t="shared" si="44"/>
        <v>0</v>
      </c>
    </row>
    <row r="395" spans="1:19" ht="31.5">
      <c r="A395" s="76"/>
      <c r="B395" s="73"/>
      <c r="C395" s="68"/>
      <c r="D395" s="69"/>
      <c r="E395" s="66"/>
      <c r="F395" s="66"/>
      <c r="G395" s="51"/>
      <c r="H395" s="2" t="s">
        <v>392</v>
      </c>
      <c r="I395" s="5">
        <v>668</v>
      </c>
      <c r="J395" s="11">
        <v>8</v>
      </c>
      <c r="K395" s="11">
        <v>1</v>
      </c>
      <c r="L395" s="57" t="s">
        <v>215</v>
      </c>
      <c r="M395" s="58" t="s">
        <v>216</v>
      </c>
      <c r="N395" s="58" t="s">
        <v>221</v>
      </c>
      <c r="O395" s="58" t="s">
        <v>261</v>
      </c>
      <c r="P395" s="7"/>
      <c r="Q395" s="124">
        <f>Q396</f>
        <v>50</v>
      </c>
      <c r="R395" s="124">
        <f t="shared" si="44"/>
        <v>0</v>
      </c>
      <c r="S395" s="124">
        <f t="shared" si="44"/>
        <v>0</v>
      </c>
    </row>
    <row r="396" spans="1:19" ht="47.25">
      <c r="A396" s="72"/>
      <c r="B396" s="73"/>
      <c r="C396" s="68"/>
      <c r="D396" s="69"/>
      <c r="E396" s="66"/>
      <c r="F396" s="66"/>
      <c r="G396" s="51"/>
      <c r="H396" s="2" t="s">
        <v>393</v>
      </c>
      <c r="I396" s="5">
        <v>668</v>
      </c>
      <c r="J396" s="11">
        <v>8</v>
      </c>
      <c r="K396" s="11">
        <v>1</v>
      </c>
      <c r="L396" s="57" t="s">
        <v>215</v>
      </c>
      <c r="M396" s="58" t="s">
        <v>216</v>
      </c>
      <c r="N396" s="58" t="s">
        <v>221</v>
      </c>
      <c r="O396" s="58" t="s">
        <v>341</v>
      </c>
      <c r="P396" s="7"/>
      <c r="Q396" s="124">
        <f>Q397</f>
        <v>50</v>
      </c>
      <c r="R396" s="124">
        <f t="shared" si="44"/>
        <v>0</v>
      </c>
      <c r="S396" s="124">
        <f t="shared" si="44"/>
        <v>0</v>
      </c>
    </row>
    <row r="397" spans="1:19" ht="18.75">
      <c r="A397" s="59"/>
      <c r="B397" s="60"/>
      <c r="C397" s="68"/>
      <c r="D397" s="73"/>
      <c r="E397" s="76"/>
      <c r="F397" s="76"/>
      <c r="G397" s="51"/>
      <c r="H397" s="2" t="s">
        <v>301</v>
      </c>
      <c r="I397" s="5">
        <v>668</v>
      </c>
      <c r="J397" s="11">
        <v>8</v>
      </c>
      <c r="K397" s="11">
        <v>1</v>
      </c>
      <c r="L397" s="57" t="s">
        <v>215</v>
      </c>
      <c r="M397" s="58" t="s">
        <v>216</v>
      </c>
      <c r="N397" s="58" t="s">
        <v>221</v>
      </c>
      <c r="O397" s="58" t="s">
        <v>341</v>
      </c>
      <c r="P397" s="7">
        <v>610</v>
      </c>
      <c r="Q397" s="124">
        <v>50</v>
      </c>
      <c r="R397" s="124">
        <v>0</v>
      </c>
      <c r="S397" s="124">
        <v>0</v>
      </c>
    </row>
    <row r="398" spans="1:19" ht="31.5">
      <c r="A398" s="59"/>
      <c r="B398" s="60"/>
      <c r="C398" s="76"/>
      <c r="D398" s="73"/>
      <c r="E398" s="76"/>
      <c r="F398" s="76"/>
      <c r="G398" s="51"/>
      <c r="H398" s="2" t="s">
        <v>522</v>
      </c>
      <c r="I398" s="9">
        <v>668</v>
      </c>
      <c r="J398" s="11">
        <v>8</v>
      </c>
      <c r="K398" s="11">
        <v>1</v>
      </c>
      <c r="L398" s="57" t="s">
        <v>494</v>
      </c>
      <c r="M398" s="58" t="s">
        <v>220</v>
      </c>
      <c r="N398" s="58" t="s">
        <v>229</v>
      </c>
      <c r="O398" s="58" t="s">
        <v>261</v>
      </c>
      <c r="P398" s="7"/>
      <c r="Q398" s="124">
        <f aca="true" t="shared" si="45" ref="Q398:S400">Q399</f>
        <v>19</v>
      </c>
      <c r="R398" s="124">
        <f t="shared" si="45"/>
        <v>0</v>
      </c>
      <c r="S398" s="124">
        <f t="shared" si="45"/>
        <v>0</v>
      </c>
    </row>
    <row r="399" spans="1:19" ht="63">
      <c r="A399" s="59"/>
      <c r="B399" s="60"/>
      <c r="C399" s="76"/>
      <c r="D399" s="73"/>
      <c r="E399" s="76"/>
      <c r="F399" s="76"/>
      <c r="G399" s="51"/>
      <c r="H399" s="2" t="s">
        <v>956</v>
      </c>
      <c r="I399" s="9">
        <v>668</v>
      </c>
      <c r="J399" s="11">
        <v>8</v>
      </c>
      <c r="K399" s="11">
        <v>1</v>
      </c>
      <c r="L399" s="57" t="s">
        <v>494</v>
      </c>
      <c r="M399" s="58" t="s">
        <v>220</v>
      </c>
      <c r="N399" s="58" t="s">
        <v>225</v>
      </c>
      <c r="O399" s="58" t="s">
        <v>261</v>
      </c>
      <c r="P399" s="7"/>
      <c r="Q399" s="124">
        <f t="shared" si="45"/>
        <v>19</v>
      </c>
      <c r="R399" s="124">
        <f t="shared" si="45"/>
        <v>0</v>
      </c>
      <c r="S399" s="124">
        <f t="shared" si="45"/>
        <v>0</v>
      </c>
    </row>
    <row r="400" spans="1:19" ht="18.75">
      <c r="A400" s="59"/>
      <c r="B400" s="60"/>
      <c r="C400" s="76"/>
      <c r="D400" s="73"/>
      <c r="E400" s="76"/>
      <c r="F400" s="76"/>
      <c r="G400" s="51"/>
      <c r="H400" s="2" t="s">
        <v>384</v>
      </c>
      <c r="I400" s="9">
        <v>668</v>
      </c>
      <c r="J400" s="11">
        <v>8</v>
      </c>
      <c r="K400" s="11">
        <v>1</v>
      </c>
      <c r="L400" s="57" t="s">
        <v>494</v>
      </c>
      <c r="M400" s="58" t="s">
        <v>220</v>
      </c>
      <c r="N400" s="58" t="s">
        <v>225</v>
      </c>
      <c r="O400" s="58" t="s">
        <v>910</v>
      </c>
      <c r="P400" s="7"/>
      <c r="Q400" s="124">
        <f t="shared" si="45"/>
        <v>19</v>
      </c>
      <c r="R400" s="124">
        <f t="shared" si="45"/>
        <v>0</v>
      </c>
      <c r="S400" s="124">
        <f t="shared" si="45"/>
        <v>0</v>
      </c>
    </row>
    <row r="401" spans="1:19" ht="18.75">
      <c r="A401" s="59"/>
      <c r="B401" s="60"/>
      <c r="C401" s="76"/>
      <c r="D401" s="73"/>
      <c r="E401" s="76"/>
      <c r="F401" s="76"/>
      <c r="G401" s="51"/>
      <c r="H401" s="2" t="s">
        <v>301</v>
      </c>
      <c r="I401" s="9">
        <v>668</v>
      </c>
      <c r="J401" s="11">
        <v>8</v>
      </c>
      <c r="K401" s="11">
        <v>1</v>
      </c>
      <c r="L401" s="57" t="s">
        <v>494</v>
      </c>
      <c r="M401" s="58" t="s">
        <v>220</v>
      </c>
      <c r="N401" s="58" t="s">
        <v>225</v>
      </c>
      <c r="O401" s="58" t="s">
        <v>910</v>
      </c>
      <c r="P401" s="7">
        <v>610</v>
      </c>
      <c r="Q401" s="124">
        <v>19</v>
      </c>
      <c r="R401" s="130">
        <v>0</v>
      </c>
      <c r="S401" s="130">
        <v>0</v>
      </c>
    </row>
    <row r="402" spans="1:19" s="113" customFormat="1" ht="19.5">
      <c r="A402" s="89"/>
      <c r="B402" s="90"/>
      <c r="C402" s="106"/>
      <c r="D402" s="128"/>
      <c r="E402" s="106"/>
      <c r="F402" s="106"/>
      <c r="G402" s="84"/>
      <c r="H402" s="227" t="s">
        <v>247</v>
      </c>
      <c r="I402" s="251">
        <v>668</v>
      </c>
      <c r="J402" s="86">
        <v>9</v>
      </c>
      <c r="K402" s="86" t="s">
        <v>262</v>
      </c>
      <c r="L402" s="87"/>
      <c r="M402" s="88"/>
      <c r="N402" s="88"/>
      <c r="O402" s="88"/>
      <c r="P402" s="85"/>
      <c r="Q402" s="123">
        <f>Q403</f>
        <v>248.8</v>
      </c>
      <c r="R402" s="123">
        <f aca="true" t="shared" si="46" ref="R402:S406">R403</f>
        <v>248.8</v>
      </c>
      <c r="S402" s="123">
        <f t="shared" si="46"/>
        <v>248.8</v>
      </c>
    </row>
    <row r="403" spans="1:19" s="113" customFormat="1" ht="19.5">
      <c r="A403" s="89"/>
      <c r="B403" s="90"/>
      <c r="C403" s="89"/>
      <c r="D403" s="467">
        <v>5220000</v>
      </c>
      <c r="E403" s="468"/>
      <c r="F403" s="468"/>
      <c r="G403" s="84">
        <v>622</v>
      </c>
      <c r="H403" s="227" t="s">
        <v>224</v>
      </c>
      <c r="I403" s="251">
        <v>668</v>
      </c>
      <c r="J403" s="86">
        <v>9</v>
      </c>
      <c r="K403" s="86">
        <v>7</v>
      </c>
      <c r="L403" s="87"/>
      <c r="M403" s="88"/>
      <c r="N403" s="88"/>
      <c r="O403" s="88"/>
      <c r="P403" s="85"/>
      <c r="Q403" s="123">
        <f>Q404</f>
        <v>248.8</v>
      </c>
      <c r="R403" s="123">
        <f t="shared" si="46"/>
        <v>248.8</v>
      </c>
      <c r="S403" s="123">
        <f t="shared" si="46"/>
        <v>248.8</v>
      </c>
    </row>
    <row r="404" spans="1:19" ht="31.5">
      <c r="A404" s="59"/>
      <c r="B404" s="60"/>
      <c r="C404" s="68"/>
      <c r="D404" s="73"/>
      <c r="E404" s="76"/>
      <c r="F404" s="76"/>
      <c r="G404" s="51"/>
      <c r="H404" s="2" t="s">
        <v>522</v>
      </c>
      <c r="I404" s="5">
        <v>668</v>
      </c>
      <c r="J404" s="11">
        <v>9</v>
      </c>
      <c r="K404" s="11">
        <v>7</v>
      </c>
      <c r="L404" s="57" t="s">
        <v>494</v>
      </c>
      <c r="M404" s="58" t="s">
        <v>220</v>
      </c>
      <c r="N404" s="58" t="s">
        <v>229</v>
      </c>
      <c r="O404" s="58" t="s">
        <v>261</v>
      </c>
      <c r="P404" s="7"/>
      <c r="Q404" s="124">
        <f>Q405</f>
        <v>248.8</v>
      </c>
      <c r="R404" s="124">
        <f t="shared" si="46"/>
        <v>248.8</v>
      </c>
      <c r="S404" s="124">
        <f t="shared" si="46"/>
        <v>248.8</v>
      </c>
    </row>
    <row r="405" spans="1:19" ht="31.5">
      <c r="A405" s="59"/>
      <c r="B405" s="60"/>
      <c r="C405" s="68"/>
      <c r="D405" s="73"/>
      <c r="E405" s="76"/>
      <c r="F405" s="76"/>
      <c r="G405" s="51"/>
      <c r="H405" s="2" t="s">
        <v>524</v>
      </c>
      <c r="I405" s="5">
        <v>668</v>
      </c>
      <c r="J405" s="11">
        <v>9</v>
      </c>
      <c r="K405" s="11">
        <v>7</v>
      </c>
      <c r="L405" s="57" t="s">
        <v>494</v>
      </c>
      <c r="M405" s="58" t="s">
        <v>220</v>
      </c>
      <c r="N405" s="58" t="s">
        <v>223</v>
      </c>
      <c r="O405" s="58" t="s">
        <v>261</v>
      </c>
      <c r="P405" s="7"/>
      <c r="Q405" s="124">
        <f>Q406</f>
        <v>248.8</v>
      </c>
      <c r="R405" s="124">
        <f t="shared" si="46"/>
        <v>248.8</v>
      </c>
      <c r="S405" s="124">
        <f t="shared" si="46"/>
        <v>248.8</v>
      </c>
    </row>
    <row r="406" spans="1:19" ht="47.25">
      <c r="A406" s="59"/>
      <c r="B406" s="60"/>
      <c r="C406" s="68"/>
      <c r="D406" s="73"/>
      <c r="E406" s="76"/>
      <c r="F406" s="76"/>
      <c r="G406" s="51"/>
      <c r="H406" s="2" t="s">
        <v>298</v>
      </c>
      <c r="I406" s="9">
        <v>668</v>
      </c>
      <c r="J406" s="11">
        <v>9</v>
      </c>
      <c r="K406" s="11">
        <v>7</v>
      </c>
      <c r="L406" s="57" t="s">
        <v>494</v>
      </c>
      <c r="M406" s="58" t="s">
        <v>220</v>
      </c>
      <c r="N406" s="58" t="s">
        <v>223</v>
      </c>
      <c r="O406" s="58" t="s">
        <v>266</v>
      </c>
      <c r="P406" s="7"/>
      <c r="Q406" s="124">
        <f>Q407</f>
        <v>248.8</v>
      </c>
      <c r="R406" s="124">
        <f t="shared" si="46"/>
        <v>248.8</v>
      </c>
      <c r="S406" s="124">
        <f t="shared" si="46"/>
        <v>248.8</v>
      </c>
    </row>
    <row r="407" spans="1:19" ht="18.75">
      <c r="A407" s="59"/>
      <c r="B407" s="60"/>
      <c r="C407" s="76"/>
      <c r="D407" s="73"/>
      <c r="E407" s="76"/>
      <c r="F407" s="76"/>
      <c r="G407" s="51"/>
      <c r="H407" s="2" t="s">
        <v>299</v>
      </c>
      <c r="I407" s="9">
        <v>668</v>
      </c>
      <c r="J407" s="11">
        <v>9</v>
      </c>
      <c r="K407" s="11">
        <v>7</v>
      </c>
      <c r="L407" s="57" t="s">
        <v>494</v>
      </c>
      <c r="M407" s="58" t="s">
        <v>220</v>
      </c>
      <c r="N407" s="58" t="s">
        <v>223</v>
      </c>
      <c r="O407" s="58" t="s">
        <v>266</v>
      </c>
      <c r="P407" s="7">
        <v>240</v>
      </c>
      <c r="Q407" s="124">
        <v>248.8</v>
      </c>
      <c r="R407" s="124">
        <v>248.8</v>
      </c>
      <c r="S407" s="124">
        <v>248.8</v>
      </c>
    </row>
    <row r="408" spans="1:19" s="113" customFormat="1" ht="19.5">
      <c r="A408" s="89"/>
      <c r="B408" s="90"/>
      <c r="C408" s="89"/>
      <c r="D408" s="467">
        <v>5220000</v>
      </c>
      <c r="E408" s="468"/>
      <c r="F408" s="468"/>
      <c r="G408" s="84">
        <v>622</v>
      </c>
      <c r="H408" s="227" t="s">
        <v>248</v>
      </c>
      <c r="I408" s="251">
        <v>668</v>
      </c>
      <c r="J408" s="86">
        <v>10</v>
      </c>
      <c r="K408" s="86" t="s">
        <v>262</v>
      </c>
      <c r="L408" s="87"/>
      <c r="M408" s="88"/>
      <c r="N408" s="88"/>
      <c r="O408" s="88"/>
      <c r="P408" s="85"/>
      <c r="Q408" s="123">
        <f>Q409+Q414+Q439</f>
        <v>21029</v>
      </c>
      <c r="R408" s="123">
        <f>R409+R414+R439</f>
        <v>9138.6</v>
      </c>
      <c r="S408" s="123">
        <f>S409+S414+S439</f>
        <v>7637.4</v>
      </c>
    </row>
    <row r="409" spans="1:19" s="113" customFormat="1" ht="19.5">
      <c r="A409" s="89"/>
      <c r="B409" s="90"/>
      <c r="C409" s="104"/>
      <c r="D409" s="128"/>
      <c r="E409" s="106"/>
      <c r="F409" s="106"/>
      <c r="G409" s="84"/>
      <c r="H409" s="225" t="s">
        <v>81</v>
      </c>
      <c r="I409" s="99">
        <v>668</v>
      </c>
      <c r="J409" s="86">
        <v>10</v>
      </c>
      <c r="K409" s="86">
        <v>1</v>
      </c>
      <c r="L409" s="87"/>
      <c r="M409" s="88"/>
      <c r="N409" s="88"/>
      <c r="O409" s="88"/>
      <c r="P409" s="85"/>
      <c r="Q409" s="123">
        <f>Q410</f>
        <v>4130</v>
      </c>
      <c r="R409" s="123">
        <f aca="true" t="shared" si="47" ref="R409:S412">R410</f>
        <v>4130</v>
      </c>
      <c r="S409" s="123">
        <f t="shared" si="47"/>
        <v>4130</v>
      </c>
    </row>
    <row r="410" spans="1:19" ht="31.5">
      <c r="A410" s="59"/>
      <c r="B410" s="60"/>
      <c r="C410" s="76"/>
      <c r="D410" s="73"/>
      <c r="E410" s="76"/>
      <c r="F410" s="76"/>
      <c r="G410" s="51"/>
      <c r="H410" s="2" t="s">
        <v>522</v>
      </c>
      <c r="I410" s="9">
        <v>668</v>
      </c>
      <c r="J410" s="11">
        <v>10</v>
      </c>
      <c r="K410" s="11">
        <v>1</v>
      </c>
      <c r="L410" s="57" t="s">
        <v>494</v>
      </c>
      <c r="M410" s="58" t="s">
        <v>220</v>
      </c>
      <c r="N410" s="58" t="s">
        <v>229</v>
      </c>
      <c r="O410" s="58" t="s">
        <v>261</v>
      </c>
      <c r="P410" s="7"/>
      <c r="Q410" s="124">
        <f>Q411</f>
        <v>4130</v>
      </c>
      <c r="R410" s="124">
        <f t="shared" si="47"/>
        <v>4130</v>
      </c>
      <c r="S410" s="124">
        <f t="shared" si="47"/>
        <v>4130</v>
      </c>
    </row>
    <row r="411" spans="1:19" ht="63">
      <c r="A411" s="61"/>
      <c r="B411" s="60"/>
      <c r="C411" s="59"/>
      <c r="D411" s="461">
        <v>5220000</v>
      </c>
      <c r="E411" s="462"/>
      <c r="F411" s="462"/>
      <c r="G411" s="51">
        <v>622</v>
      </c>
      <c r="H411" s="2" t="s">
        <v>956</v>
      </c>
      <c r="I411" s="9">
        <v>668</v>
      </c>
      <c r="J411" s="11">
        <v>10</v>
      </c>
      <c r="K411" s="11">
        <v>1</v>
      </c>
      <c r="L411" s="57" t="s">
        <v>494</v>
      </c>
      <c r="M411" s="58" t="s">
        <v>220</v>
      </c>
      <c r="N411" s="58" t="s">
        <v>225</v>
      </c>
      <c r="O411" s="58" t="s">
        <v>261</v>
      </c>
      <c r="P411" s="7"/>
      <c r="Q411" s="124">
        <f>Q412</f>
        <v>4130</v>
      </c>
      <c r="R411" s="124">
        <f t="shared" si="47"/>
        <v>4130</v>
      </c>
      <c r="S411" s="124">
        <f t="shared" si="47"/>
        <v>4130</v>
      </c>
    </row>
    <row r="412" spans="1:19" ht="18.75">
      <c r="A412" s="59"/>
      <c r="B412" s="60"/>
      <c r="C412" s="68"/>
      <c r="D412" s="73"/>
      <c r="E412" s="76"/>
      <c r="F412" s="76"/>
      <c r="G412" s="51"/>
      <c r="H412" s="2" t="s">
        <v>556</v>
      </c>
      <c r="I412" s="5">
        <v>668</v>
      </c>
      <c r="J412" s="11">
        <v>10</v>
      </c>
      <c r="K412" s="11">
        <v>1</v>
      </c>
      <c r="L412" s="57" t="s">
        <v>494</v>
      </c>
      <c r="M412" s="58" t="s">
        <v>220</v>
      </c>
      <c r="N412" s="58" t="s">
        <v>225</v>
      </c>
      <c r="O412" s="58" t="s">
        <v>37</v>
      </c>
      <c r="P412" s="7"/>
      <c r="Q412" s="124">
        <f>Q413</f>
        <v>4130</v>
      </c>
      <c r="R412" s="124">
        <f t="shared" si="47"/>
        <v>4130</v>
      </c>
      <c r="S412" s="124">
        <f t="shared" si="47"/>
        <v>4130</v>
      </c>
    </row>
    <row r="413" spans="1:19" ht="18.75">
      <c r="A413" s="59"/>
      <c r="B413" s="60"/>
      <c r="C413" s="76"/>
      <c r="D413" s="73"/>
      <c r="E413" s="76"/>
      <c r="F413" s="76"/>
      <c r="G413" s="51"/>
      <c r="H413" s="25" t="s">
        <v>303</v>
      </c>
      <c r="I413" s="9">
        <v>668</v>
      </c>
      <c r="J413" s="11">
        <v>10</v>
      </c>
      <c r="K413" s="11">
        <v>1</v>
      </c>
      <c r="L413" s="57" t="s">
        <v>494</v>
      </c>
      <c r="M413" s="58" t="s">
        <v>220</v>
      </c>
      <c r="N413" s="58" t="s">
        <v>225</v>
      </c>
      <c r="O413" s="58" t="s">
        <v>37</v>
      </c>
      <c r="P413" s="7">
        <v>310</v>
      </c>
      <c r="Q413" s="124">
        <v>4130</v>
      </c>
      <c r="R413" s="124">
        <v>4130</v>
      </c>
      <c r="S413" s="124">
        <v>4130</v>
      </c>
    </row>
    <row r="414" spans="1:19" s="113" customFormat="1" ht="19.5">
      <c r="A414" s="89"/>
      <c r="B414" s="90"/>
      <c r="C414" s="89"/>
      <c r="D414" s="467">
        <v>5220000</v>
      </c>
      <c r="E414" s="468"/>
      <c r="F414" s="468"/>
      <c r="G414" s="84">
        <v>622</v>
      </c>
      <c r="H414" s="227" t="s">
        <v>249</v>
      </c>
      <c r="I414" s="251">
        <v>668</v>
      </c>
      <c r="J414" s="86">
        <v>10</v>
      </c>
      <c r="K414" s="86">
        <v>3</v>
      </c>
      <c r="L414" s="87"/>
      <c r="M414" s="88"/>
      <c r="N414" s="88"/>
      <c r="O414" s="88"/>
      <c r="P414" s="85"/>
      <c r="Q414" s="123">
        <f>Q421+Q425+Q415</f>
        <v>15275.6</v>
      </c>
      <c r="R414" s="123">
        <f>R421+R425+R415</f>
        <v>3366.2</v>
      </c>
      <c r="S414" s="123">
        <f>S421+S425+S415</f>
        <v>1865</v>
      </c>
    </row>
    <row r="415" spans="1:19" s="113" customFormat="1" ht="31.5">
      <c r="A415" s="89"/>
      <c r="B415" s="90"/>
      <c r="C415" s="106"/>
      <c r="D415" s="107"/>
      <c r="E415" s="196"/>
      <c r="F415" s="196"/>
      <c r="G415" s="84"/>
      <c r="H415" s="25" t="s">
        <v>520</v>
      </c>
      <c r="I415" s="9">
        <v>668</v>
      </c>
      <c r="J415" s="11">
        <v>10</v>
      </c>
      <c r="K415" s="11">
        <v>3</v>
      </c>
      <c r="L415" s="57" t="s">
        <v>236</v>
      </c>
      <c r="M415" s="58" t="s">
        <v>220</v>
      </c>
      <c r="N415" s="58" t="s">
        <v>220</v>
      </c>
      <c r="O415" s="58" t="s">
        <v>261</v>
      </c>
      <c r="P415" s="7"/>
      <c r="Q415" s="124">
        <f>Q416</f>
        <v>504</v>
      </c>
      <c r="R415" s="124">
        <f>R416</f>
        <v>480</v>
      </c>
      <c r="S415" s="124">
        <f>S416</f>
        <v>444</v>
      </c>
    </row>
    <row r="416" spans="1:19" s="113" customFormat="1" ht="18.75">
      <c r="A416" s="89"/>
      <c r="B416" s="90"/>
      <c r="C416" s="106"/>
      <c r="D416" s="107"/>
      <c r="E416" s="196"/>
      <c r="F416" s="196"/>
      <c r="G416" s="84"/>
      <c r="H416" s="25" t="s">
        <v>521</v>
      </c>
      <c r="I416" s="9">
        <v>668</v>
      </c>
      <c r="J416" s="11">
        <v>10</v>
      </c>
      <c r="K416" s="11">
        <v>3</v>
      </c>
      <c r="L416" s="57" t="s">
        <v>236</v>
      </c>
      <c r="M416" s="58" t="s">
        <v>220</v>
      </c>
      <c r="N416" s="58" t="s">
        <v>237</v>
      </c>
      <c r="O416" s="58" t="s">
        <v>261</v>
      </c>
      <c r="P416" s="7"/>
      <c r="Q416" s="124">
        <f>Q420+Q418</f>
        <v>504</v>
      </c>
      <c r="R416" s="124">
        <f>R420+R418</f>
        <v>480</v>
      </c>
      <c r="S416" s="124">
        <f>S420+S418</f>
        <v>444</v>
      </c>
    </row>
    <row r="417" spans="1:19" s="113" customFormat="1" ht="31.5">
      <c r="A417" s="89"/>
      <c r="B417" s="90"/>
      <c r="C417" s="106"/>
      <c r="D417" s="107"/>
      <c r="E417" s="196"/>
      <c r="F417" s="196"/>
      <c r="G417" s="84"/>
      <c r="H417" s="25" t="s">
        <v>0</v>
      </c>
      <c r="I417" s="9">
        <v>668</v>
      </c>
      <c r="J417" s="11">
        <v>10</v>
      </c>
      <c r="K417" s="11">
        <v>3</v>
      </c>
      <c r="L417" s="57" t="s">
        <v>236</v>
      </c>
      <c r="M417" s="58" t="s">
        <v>220</v>
      </c>
      <c r="N417" s="58" t="s">
        <v>237</v>
      </c>
      <c r="O417" s="58" t="s">
        <v>1</v>
      </c>
      <c r="P417" s="7"/>
      <c r="Q417" s="124">
        <f>Q418</f>
        <v>132</v>
      </c>
      <c r="R417" s="124">
        <f>R418</f>
        <v>108</v>
      </c>
      <c r="S417" s="124">
        <f>S418</f>
        <v>72</v>
      </c>
    </row>
    <row r="418" spans="1:19" s="113" customFormat="1" ht="18.75">
      <c r="A418" s="89"/>
      <c r="B418" s="90"/>
      <c r="C418" s="106"/>
      <c r="D418" s="107"/>
      <c r="E418" s="196"/>
      <c r="F418" s="196"/>
      <c r="G418" s="84"/>
      <c r="H418" s="25" t="s">
        <v>303</v>
      </c>
      <c r="I418" s="9">
        <v>668</v>
      </c>
      <c r="J418" s="11">
        <v>10</v>
      </c>
      <c r="K418" s="11">
        <v>3</v>
      </c>
      <c r="L418" s="57" t="s">
        <v>236</v>
      </c>
      <c r="M418" s="58" t="s">
        <v>220</v>
      </c>
      <c r="N418" s="58" t="s">
        <v>237</v>
      </c>
      <c r="O418" s="58" t="s">
        <v>1</v>
      </c>
      <c r="P418" s="7">
        <v>310</v>
      </c>
      <c r="Q418" s="124">
        <f>72+60</f>
        <v>132</v>
      </c>
      <c r="R418" s="124">
        <v>108</v>
      </c>
      <c r="S418" s="124">
        <v>72</v>
      </c>
    </row>
    <row r="419" spans="1:19" s="113" customFormat="1" ht="18.75">
      <c r="A419" s="89"/>
      <c r="B419" s="90"/>
      <c r="C419" s="106"/>
      <c r="D419" s="107"/>
      <c r="E419" s="196"/>
      <c r="F419" s="196"/>
      <c r="G419" s="84"/>
      <c r="H419" s="25" t="s">
        <v>469</v>
      </c>
      <c r="I419" s="9">
        <v>668</v>
      </c>
      <c r="J419" s="11">
        <v>10</v>
      </c>
      <c r="K419" s="11">
        <v>3</v>
      </c>
      <c r="L419" s="57" t="s">
        <v>236</v>
      </c>
      <c r="M419" s="58" t="s">
        <v>220</v>
      </c>
      <c r="N419" s="58" t="s">
        <v>237</v>
      </c>
      <c r="O419" s="58" t="s">
        <v>501</v>
      </c>
      <c r="P419" s="7"/>
      <c r="Q419" s="124">
        <f>Q420</f>
        <v>372</v>
      </c>
      <c r="R419" s="124">
        <v>0</v>
      </c>
      <c r="S419" s="124">
        <v>0</v>
      </c>
    </row>
    <row r="420" spans="1:19" s="113" customFormat="1" ht="18.75">
      <c r="A420" s="89"/>
      <c r="B420" s="90"/>
      <c r="C420" s="106"/>
      <c r="D420" s="107"/>
      <c r="E420" s="196"/>
      <c r="F420" s="196"/>
      <c r="G420" s="84"/>
      <c r="H420" s="25" t="s">
        <v>467</v>
      </c>
      <c r="I420" s="9">
        <v>668</v>
      </c>
      <c r="J420" s="11">
        <v>10</v>
      </c>
      <c r="K420" s="11">
        <v>3</v>
      </c>
      <c r="L420" s="57" t="s">
        <v>236</v>
      </c>
      <c r="M420" s="58" t="s">
        <v>220</v>
      </c>
      <c r="N420" s="58" t="s">
        <v>237</v>
      </c>
      <c r="O420" s="58" t="s">
        <v>501</v>
      </c>
      <c r="P420" s="7">
        <v>330</v>
      </c>
      <c r="Q420" s="124">
        <v>372</v>
      </c>
      <c r="R420" s="124">
        <v>372</v>
      </c>
      <c r="S420" s="124">
        <v>372</v>
      </c>
    </row>
    <row r="421" spans="1:19" ht="31.5">
      <c r="A421" s="59"/>
      <c r="B421" s="60"/>
      <c r="C421" s="76"/>
      <c r="D421" s="69"/>
      <c r="E421" s="64"/>
      <c r="F421" s="64"/>
      <c r="G421" s="51"/>
      <c r="H421" s="25" t="s">
        <v>0</v>
      </c>
      <c r="I421" s="9">
        <v>668</v>
      </c>
      <c r="J421" s="11">
        <v>10</v>
      </c>
      <c r="K421" s="11">
        <v>3</v>
      </c>
      <c r="L421" s="57" t="s">
        <v>230</v>
      </c>
      <c r="M421" s="58" t="s">
        <v>220</v>
      </c>
      <c r="N421" s="58" t="s">
        <v>229</v>
      </c>
      <c r="O421" s="58" t="s">
        <v>261</v>
      </c>
      <c r="P421" s="7"/>
      <c r="Q421" s="124">
        <f>Q422</f>
        <v>1166.6</v>
      </c>
      <c r="R421" s="124">
        <f aca="true" t="shared" si="48" ref="R421:S423">R422</f>
        <v>1036.2</v>
      </c>
      <c r="S421" s="124">
        <f t="shared" si="48"/>
        <v>971</v>
      </c>
    </row>
    <row r="422" spans="1:19" ht="18.75">
      <c r="A422" s="59"/>
      <c r="B422" s="60"/>
      <c r="C422" s="76"/>
      <c r="D422" s="69"/>
      <c r="E422" s="64"/>
      <c r="F422" s="64"/>
      <c r="G422" s="51"/>
      <c r="H422" s="25" t="s">
        <v>819</v>
      </c>
      <c r="I422" s="9">
        <v>668</v>
      </c>
      <c r="J422" s="11">
        <v>10</v>
      </c>
      <c r="K422" s="11">
        <v>3</v>
      </c>
      <c r="L422" s="57" t="s">
        <v>230</v>
      </c>
      <c r="M422" s="58" t="s">
        <v>220</v>
      </c>
      <c r="N422" s="58" t="s">
        <v>232</v>
      </c>
      <c r="O422" s="58" t="s">
        <v>261</v>
      </c>
      <c r="P422" s="7"/>
      <c r="Q422" s="124">
        <f>Q423</f>
        <v>1166.6</v>
      </c>
      <c r="R422" s="124">
        <f t="shared" si="48"/>
        <v>1036.2</v>
      </c>
      <c r="S422" s="124">
        <f t="shared" si="48"/>
        <v>971</v>
      </c>
    </row>
    <row r="423" spans="1:19" ht="18.75">
      <c r="A423" s="59"/>
      <c r="B423" s="60"/>
      <c r="C423" s="76"/>
      <c r="D423" s="69"/>
      <c r="E423" s="64"/>
      <c r="F423" s="64"/>
      <c r="G423" s="51"/>
      <c r="H423" s="25" t="s">
        <v>286</v>
      </c>
      <c r="I423" s="9">
        <v>668</v>
      </c>
      <c r="J423" s="11">
        <v>10</v>
      </c>
      <c r="K423" s="11">
        <v>3</v>
      </c>
      <c r="L423" s="57" t="s">
        <v>230</v>
      </c>
      <c r="M423" s="58" t="s">
        <v>220</v>
      </c>
      <c r="N423" s="58" t="s">
        <v>232</v>
      </c>
      <c r="O423" s="58" t="s">
        <v>15</v>
      </c>
      <c r="P423" s="7"/>
      <c r="Q423" s="124">
        <f>Q424</f>
        <v>1166.6</v>
      </c>
      <c r="R423" s="124">
        <f t="shared" si="48"/>
        <v>1036.2</v>
      </c>
      <c r="S423" s="124">
        <f t="shared" si="48"/>
        <v>971</v>
      </c>
    </row>
    <row r="424" spans="1:19" ht="18.75">
      <c r="A424" s="59"/>
      <c r="B424" s="60"/>
      <c r="C424" s="76"/>
      <c r="D424" s="69"/>
      <c r="E424" s="64"/>
      <c r="F424" s="64"/>
      <c r="G424" s="51"/>
      <c r="H424" s="25" t="s">
        <v>304</v>
      </c>
      <c r="I424" s="9">
        <v>668</v>
      </c>
      <c r="J424" s="11">
        <v>10</v>
      </c>
      <c r="K424" s="11">
        <v>3</v>
      </c>
      <c r="L424" s="57" t="s">
        <v>230</v>
      </c>
      <c r="M424" s="58" t="s">
        <v>220</v>
      </c>
      <c r="N424" s="58" t="s">
        <v>232</v>
      </c>
      <c r="O424" s="58" t="s">
        <v>15</v>
      </c>
      <c r="P424" s="7">
        <v>320</v>
      </c>
      <c r="Q424" s="124">
        <v>1166.6</v>
      </c>
      <c r="R424" s="124">
        <v>1036.2</v>
      </c>
      <c r="S424" s="124">
        <v>971</v>
      </c>
    </row>
    <row r="425" spans="1:19" ht="31.5">
      <c r="A425" s="59"/>
      <c r="B425" s="60"/>
      <c r="C425" s="68"/>
      <c r="D425" s="73"/>
      <c r="E425" s="76"/>
      <c r="F425" s="76"/>
      <c r="G425" s="51"/>
      <c r="H425" s="2" t="s">
        <v>522</v>
      </c>
      <c r="I425" s="5">
        <v>668</v>
      </c>
      <c r="J425" s="11">
        <v>10</v>
      </c>
      <c r="K425" s="11">
        <v>3</v>
      </c>
      <c r="L425" s="57" t="s">
        <v>494</v>
      </c>
      <c r="M425" s="58" t="s">
        <v>220</v>
      </c>
      <c r="N425" s="58" t="s">
        <v>229</v>
      </c>
      <c r="O425" s="58" t="s">
        <v>261</v>
      </c>
      <c r="P425" s="7"/>
      <c r="Q425" s="124">
        <f>Q429+Q426</f>
        <v>13605</v>
      </c>
      <c r="R425" s="124">
        <f>R429+R426</f>
        <v>1850</v>
      </c>
      <c r="S425" s="124">
        <f>S429+S426</f>
        <v>450</v>
      </c>
    </row>
    <row r="426" spans="1:19" ht="31.5">
      <c r="A426" s="59"/>
      <c r="B426" s="60"/>
      <c r="C426" s="76"/>
      <c r="D426" s="73"/>
      <c r="E426" s="76"/>
      <c r="F426" s="76"/>
      <c r="G426" s="51"/>
      <c r="H426" s="2" t="s">
        <v>524</v>
      </c>
      <c r="I426" s="9">
        <v>668</v>
      </c>
      <c r="J426" s="11">
        <v>10</v>
      </c>
      <c r="K426" s="11">
        <v>3</v>
      </c>
      <c r="L426" s="57" t="s">
        <v>494</v>
      </c>
      <c r="M426" s="58" t="s">
        <v>220</v>
      </c>
      <c r="N426" s="58" t="s">
        <v>223</v>
      </c>
      <c r="O426" s="58" t="s">
        <v>261</v>
      </c>
      <c r="P426" s="7"/>
      <c r="Q426" s="124">
        <f aca="true" t="shared" si="49" ref="Q426:S427">Q427</f>
        <v>0</v>
      </c>
      <c r="R426" s="124">
        <f t="shared" si="49"/>
        <v>1400</v>
      </c>
      <c r="S426" s="124">
        <f t="shared" si="49"/>
        <v>0</v>
      </c>
    </row>
    <row r="427" spans="1:19" ht="47.25">
      <c r="A427" s="59"/>
      <c r="B427" s="60"/>
      <c r="C427" s="76"/>
      <c r="D427" s="73"/>
      <c r="E427" s="76"/>
      <c r="F427" s="76"/>
      <c r="G427" s="51"/>
      <c r="H427" s="2" t="s">
        <v>829</v>
      </c>
      <c r="I427" s="9">
        <v>668</v>
      </c>
      <c r="J427" s="11">
        <v>10</v>
      </c>
      <c r="K427" s="11">
        <v>3</v>
      </c>
      <c r="L427" s="57" t="s">
        <v>494</v>
      </c>
      <c r="M427" s="58" t="s">
        <v>220</v>
      </c>
      <c r="N427" s="58" t="s">
        <v>223</v>
      </c>
      <c r="O427" s="58" t="s">
        <v>828</v>
      </c>
      <c r="P427" s="7"/>
      <c r="Q427" s="124">
        <f t="shared" si="49"/>
        <v>0</v>
      </c>
      <c r="R427" s="124">
        <f t="shared" si="49"/>
        <v>1400</v>
      </c>
      <c r="S427" s="124">
        <f t="shared" si="49"/>
        <v>0</v>
      </c>
    </row>
    <row r="428" spans="1:19" ht="18.75">
      <c r="A428" s="59"/>
      <c r="B428" s="60"/>
      <c r="C428" s="76"/>
      <c r="D428" s="73"/>
      <c r="E428" s="76"/>
      <c r="F428" s="76"/>
      <c r="G428" s="51"/>
      <c r="H428" s="25" t="s">
        <v>304</v>
      </c>
      <c r="I428" s="9">
        <v>668</v>
      </c>
      <c r="J428" s="11">
        <v>10</v>
      </c>
      <c r="K428" s="11">
        <v>3</v>
      </c>
      <c r="L428" s="57" t="s">
        <v>494</v>
      </c>
      <c r="M428" s="58" t="s">
        <v>220</v>
      </c>
      <c r="N428" s="58" t="s">
        <v>223</v>
      </c>
      <c r="O428" s="58" t="s">
        <v>828</v>
      </c>
      <c r="P428" s="7">
        <v>320</v>
      </c>
      <c r="Q428" s="124">
        <v>0</v>
      </c>
      <c r="R428" s="124">
        <v>1400</v>
      </c>
      <c r="S428" s="124">
        <v>0</v>
      </c>
    </row>
    <row r="429" spans="1:19" ht="63">
      <c r="A429" s="59"/>
      <c r="B429" s="60"/>
      <c r="C429" s="76"/>
      <c r="D429" s="73"/>
      <c r="E429" s="76"/>
      <c r="F429" s="76"/>
      <c r="G429" s="51"/>
      <c r="H429" s="2" t="s">
        <v>956</v>
      </c>
      <c r="I429" s="9">
        <v>668</v>
      </c>
      <c r="J429" s="11">
        <v>10</v>
      </c>
      <c r="K429" s="11">
        <v>3</v>
      </c>
      <c r="L429" s="57" t="s">
        <v>494</v>
      </c>
      <c r="M429" s="58" t="s">
        <v>220</v>
      </c>
      <c r="N429" s="58" t="s">
        <v>225</v>
      </c>
      <c r="O429" s="58" t="s">
        <v>261</v>
      </c>
      <c r="P429" s="7"/>
      <c r="Q429" s="124">
        <f>Q430+Q432+Q435+Q437</f>
        <v>13605</v>
      </c>
      <c r="R429" s="124">
        <f>R430+R432+R435+R437</f>
        <v>450</v>
      </c>
      <c r="S429" s="124">
        <f>S430+S432+S435+S437</f>
        <v>450</v>
      </c>
    </row>
    <row r="430" spans="1:19" ht="18.75">
      <c r="A430" s="61"/>
      <c r="B430" s="60"/>
      <c r="C430" s="59"/>
      <c r="D430" s="461">
        <v>5220000</v>
      </c>
      <c r="E430" s="462"/>
      <c r="F430" s="462"/>
      <c r="G430" s="51">
        <v>622</v>
      </c>
      <c r="H430" s="2" t="s">
        <v>39</v>
      </c>
      <c r="I430" s="9">
        <v>668</v>
      </c>
      <c r="J430" s="11">
        <v>10</v>
      </c>
      <c r="K430" s="11">
        <v>3</v>
      </c>
      <c r="L430" s="57" t="s">
        <v>494</v>
      </c>
      <c r="M430" s="58" t="s">
        <v>220</v>
      </c>
      <c r="N430" s="58" t="s">
        <v>225</v>
      </c>
      <c r="O430" s="58" t="s">
        <v>38</v>
      </c>
      <c r="P430" s="7"/>
      <c r="Q430" s="124">
        <f>Q431</f>
        <v>450</v>
      </c>
      <c r="R430" s="124">
        <f>R431</f>
        <v>450</v>
      </c>
      <c r="S430" s="124">
        <f>S431</f>
        <v>450</v>
      </c>
    </row>
    <row r="431" spans="1:19" ht="18.75">
      <c r="A431" s="59"/>
      <c r="B431" s="60"/>
      <c r="C431" s="68"/>
      <c r="D431" s="73"/>
      <c r="E431" s="76"/>
      <c r="F431" s="76"/>
      <c r="G431" s="51"/>
      <c r="H431" s="2" t="s">
        <v>303</v>
      </c>
      <c r="I431" s="5">
        <v>668</v>
      </c>
      <c r="J431" s="11">
        <v>10</v>
      </c>
      <c r="K431" s="11">
        <v>3</v>
      </c>
      <c r="L431" s="57" t="s">
        <v>494</v>
      </c>
      <c r="M431" s="58" t="s">
        <v>220</v>
      </c>
      <c r="N431" s="58" t="s">
        <v>225</v>
      </c>
      <c r="O431" s="58" t="s">
        <v>38</v>
      </c>
      <c r="P431" s="7">
        <v>310</v>
      </c>
      <c r="Q431" s="124">
        <v>450</v>
      </c>
      <c r="R431" s="124">
        <v>450</v>
      </c>
      <c r="S431" s="124">
        <v>450</v>
      </c>
    </row>
    <row r="432" spans="1:19" ht="31.5">
      <c r="A432" s="59"/>
      <c r="B432" s="60"/>
      <c r="C432" s="76"/>
      <c r="D432" s="73"/>
      <c r="E432" s="76"/>
      <c r="F432" s="76"/>
      <c r="G432" s="51"/>
      <c r="H432" s="2" t="s">
        <v>955</v>
      </c>
      <c r="I432" s="9">
        <v>668</v>
      </c>
      <c r="J432" s="11">
        <v>10</v>
      </c>
      <c r="K432" s="11">
        <v>3</v>
      </c>
      <c r="L432" s="57" t="s">
        <v>494</v>
      </c>
      <c r="M432" s="58" t="s">
        <v>220</v>
      </c>
      <c r="N432" s="58" t="s">
        <v>225</v>
      </c>
      <c r="O432" s="58" t="s">
        <v>954</v>
      </c>
      <c r="P432" s="7"/>
      <c r="Q432" s="124">
        <f>Q433+Q434</f>
        <v>12680</v>
      </c>
      <c r="R432" s="124">
        <f>R433+R434</f>
        <v>0</v>
      </c>
      <c r="S432" s="124">
        <f>S433+S434</f>
        <v>0</v>
      </c>
    </row>
    <row r="433" spans="1:19" ht="18.75" hidden="1">
      <c r="A433" s="59"/>
      <c r="B433" s="60"/>
      <c r="C433" s="76"/>
      <c r="D433" s="73"/>
      <c r="E433" s="76"/>
      <c r="F433" s="76"/>
      <c r="G433" s="51"/>
      <c r="H433" s="2" t="s">
        <v>304</v>
      </c>
      <c r="I433" s="9">
        <v>668</v>
      </c>
      <c r="J433" s="11">
        <v>10</v>
      </c>
      <c r="K433" s="11">
        <v>3</v>
      </c>
      <c r="L433" s="57" t="s">
        <v>494</v>
      </c>
      <c r="M433" s="58" t="s">
        <v>220</v>
      </c>
      <c r="N433" s="58" t="s">
        <v>225</v>
      </c>
      <c r="O433" s="58" t="s">
        <v>954</v>
      </c>
      <c r="P433" s="7">
        <v>320</v>
      </c>
      <c r="Q433" s="124"/>
      <c r="R433" s="124"/>
      <c r="S433" s="124"/>
    </row>
    <row r="434" spans="1:19" ht="18.75">
      <c r="A434" s="59"/>
      <c r="B434" s="60"/>
      <c r="C434" s="76"/>
      <c r="D434" s="73"/>
      <c r="E434" s="76"/>
      <c r="F434" s="76"/>
      <c r="G434" s="51"/>
      <c r="H434" s="25" t="s">
        <v>304</v>
      </c>
      <c r="I434" s="9">
        <v>668</v>
      </c>
      <c r="J434" s="11">
        <v>10</v>
      </c>
      <c r="K434" s="11">
        <v>3</v>
      </c>
      <c r="L434" s="57" t="s">
        <v>494</v>
      </c>
      <c r="M434" s="58" t="s">
        <v>220</v>
      </c>
      <c r="N434" s="58" t="s">
        <v>225</v>
      </c>
      <c r="O434" s="58" t="s">
        <v>954</v>
      </c>
      <c r="P434" s="7">
        <v>320</v>
      </c>
      <c r="Q434" s="124">
        <f>1600+4805+2225+2835+1215</f>
        <v>12680</v>
      </c>
      <c r="R434" s="124">
        <v>0</v>
      </c>
      <c r="S434" s="124">
        <v>0</v>
      </c>
    </row>
    <row r="435" spans="1:19" ht="31.5">
      <c r="A435" s="59"/>
      <c r="B435" s="60"/>
      <c r="C435" s="76"/>
      <c r="D435" s="73"/>
      <c r="E435" s="76"/>
      <c r="F435" s="76"/>
      <c r="G435" s="51"/>
      <c r="H435" s="25" t="s">
        <v>1042</v>
      </c>
      <c r="I435" s="9">
        <v>668</v>
      </c>
      <c r="J435" s="11">
        <v>10</v>
      </c>
      <c r="K435" s="11">
        <v>3</v>
      </c>
      <c r="L435" s="57" t="s">
        <v>494</v>
      </c>
      <c r="M435" s="58" t="s">
        <v>220</v>
      </c>
      <c r="N435" s="58" t="s">
        <v>225</v>
      </c>
      <c r="O435" s="58" t="s">
        <v>1041</v>
      </c>
      <c r="P435" s="7"/>
      <c r="Q435" s="124">
        <f>Q436</f>
        <v>350</v>
      </c>
      <c r="R435" s="124">
        <f>R436</f>
        <v>0</v>
      </c>
      <c r="S435" s="124">
        <f>S436</f>
        <v>0</v>
      </c>
    </row>
    <row r="436" spans="1:19" ht="18.75">
      <c r="A436" s="59"/>
      <c r="B436" s="60"/>
      <c r="C436" s="76"/>
      <c r="D436" s="73"/>
      <c r="E436" s="76"/>
      <c r="F436" s="76"/>
      <c r="G436" s="51"/>
      <c r="H436" s="25" t="s">
        <v>304</v>
      </c>
      <c r="I436" s="9">
        <v>668</v>
      </c>
      <c r="J436" s="11">
        <v>10</v>
      </c>
      <c r="K436" s="11">
        <v>3</v>
      </c>
      <c r="L436" s="57" t="s">
        <v>494</v>
      </c>
      <c r="M436" s="58" t="s">
        <v>220</v>
      </c>
      <c r="N436" s="58" t="s">
        <v>225</v>
      </c>
      <c r="O436" s="58" t="s">
        <v>1041</v>
      </c>
      <c r="P436" s="7">
        <v>320</v>
      </c>
      <c r="Q436" s="124">
        <f>175+175</f>
        <v>350</v>
      </c>
      <c r="R436" s="124">
        <v>0</v>
      </c>
      <c r="S436" s="124">
        <v>0</v>
      </c>
    </row>
    <row r="437" spans="1:19" ht="31.5">
      <c r="A437" s="59"/>
      <c r="B437" s="60"/>
      <c r="C437" s="76"/>
      <c r="D437" s="73"/>
      <c r="E437" s="76"/>
      <c r="F437" s="76"/>
      <c r="G437" s="51"/>
      <c r="H437" s="25" t="s">
        <v>1079</v>
      </c>
      <c r="I437" s="9">
        <v>668</v>
      </c>
      <c r="J437" s="11">
        <v>10</v>
      </c>
      <c r="K437" s="11">
        <v>3</v>
      </c>
      <c r="L437" s="57" t="s">
        <v>494</v>
      </c>
      <c r="M437" s="58" t="s">
        <v>220</v>
      </c>
      <c r="N437" s="58" t="s">
        <v>225</v>
      </c>
      <c r="O437" s="58" t="s">
        <v>1078</v>
      </c>
      <c r="P437" s="7"/>
      <c r="Q437" s="124">
        <f>Q438</f>
        <v>125</v>
      </c>
      <c r="R437" s="124">
        <f>R438</f>
        <v>0</v>
      </c>
      <c r="S437" s="124">
        <f>S438</f>
        <v>0</v>
      </c>
    </row>
    <row r="438" spans="1:19" ht="18.75">
      <c r="A438" s="59"/>
      <c r="B438" s="60"/>
      <c r="C438" s="76"/>
      <c r="D438" s="73"/>
      <c r="E438" s="76"/>
      <c r="F438" s="76"/>
      <c r="G438" s="51"/>
      <c r="H438" s="25" t="s">
        <v>304</v>
      </c>
      <c r="I438" s="9">
        <v>668</v>
      </c>
      <c r="J438" s="11">
        <v>10</v>
      </c>
      <c r="K438" s="11">
        <v>3</v>
      </c>
      <c r="L438" s="57" t="s">
        <v>494</v>
      </c>
      <c r="M438" s="58" t="s">
        <v>220</v>
      </c>
      <c r="N438" s="58" t="s">
        <v>225</v>
      </c>
      <c r="O438" s="58" t="s">
        <v>1078</v>
      </c>
      <c r="P438" s="7">
        <v>320</v>
      </c>
      <c r="Q438" s="124">
        <v>125</v>
      </c>
      <c r="R438" s="124">
        <v>0</v>
      </c>
      <c r="S438" s="124">
        <v>0</v>
      </c>
    </row>
    <row r="439" spans="1:19" s="113" customFormat="1" ht="19.5">
      <c r="A439" s="89"/>
      <c r="B439" s="90"/>
      <c r="C439" s="106"/>
      <c r="D439" s="128"/>
      <c r="E439" s="106"/>
      <c r="F439" s="106"/>
      <c r="G439" s="84"/>
      <c r="H439" s="225" t="s">
        <v>207</v>
      </c>
      <c r="I439" s="251">
        <v>668</v>
      </c>
      <c r="J439" s="86">
        <v>10</v>
      </c>
      <c r="K439" s="86">
        <v>6</v>
      </c>
      <c r="L439" s="87"/>
      <c r="M439" s="88"/>
      <c r="N439" s="88"/>
      <c r="O439" s="88"/>
      <c r="P439" s="85"/>
      <c r="Q439" s="123">
        <f>Q440+Q449</f>
        <v>1623.3999999999999</v>
      </c>
      <c r="R439" s="123">
        <f>R440+R449</f>
        <v>1642.3999999999999</v>
      </c>
      <c r="S439" s="123">
        <f>S440+S449</f>
        <v>1642.3999999999999</v>
      </c>
    </row>
    <row r="440" spans="1:19" ht="31.5">
      <c r="A440" s="61"/>
      <c r="B440" s="60"/>
      <c r="C440" s="59"/>
      <c r="D440" s="461">
        <v>5220000</v>
      </c>
      <c r="E440" s="462"/>
      <c r="F440" s="462"/>
      <c r="G440" s="51">
        <v>622</v>
      </c>
      <c r="H440" s="2" t="s">
        <v>522</v>
      </c>
      <c r="I440" s="9">
        <v>668</v>
      </c>
      <c r="J440" s="11">
        <v>10</v>
      </c>
      <c r="K440" s="11">
        <v>6</v>
      </c>
      <c r="L440" s="57" t="s">
        <v>494</v>
      </c>
      <c r="M440" s="58" t="s">
        <v>220</v>
      </c>
      <c r="N440" s="58" t="s">
        <v>229</v>
      </c>
      <c r="O440" s="58" t="s">
        <v>261</v>
      </c>
      <c r="P440" s="7"/>
      <c r="Q440" s="124">
        <f>Q441+Q445</f>
        <v>1573.3999999999999</v>
      </c>
      <c r="R440" s="124">
        <f>R441+R445</f>
        <v>1592.3999999999999</v>
      </c>
      <c r="S440" s="124">
        <f>S441+S445</f>
        <v>1592.3999999999999</v>
      </c>
    </row>
    <row r="441" spans="1:19" ht="31.5">
      <c r="A441" s="59"/>
      <c r="B441" s="60"/>
      <c r="C441" s="68"/>
      <c r="D441" s="73"/>
      <c r="E441" s="76"/>
      <c r="F441" s="76"/>
      <c r="G441" s="51"/>
      <c r="H441" s="2" t="s">
        <v>524</v>
      </c>
      <c r="I441" s="5">
        <v>668</v>
      </c>
      <c r="J441" s="11">
        <v>10</v>
      </c>
      <c r="K441" s="11">
        <v>6</v>
      </c>
      <c r="L441" s="57" t="s">
        <v>494</v>
      </c>
      <c r="M441" s="58" t="s">
        <v>220</v>
      </c>
      <c r="N441" s="58" t="s">
        <v>223</v>
      </c>
      <c r="O441" s="58" t="s">
        <v>261</v>
      </c>
      <c r="P441" s="7"/>
      <c r="Q441" s="124">
        <f>Q442</f>
        <v>1492.3999999999999</v>
      </c>
      <c r="R441" s="124">
        <f>R442</f>
        <v>1492.3999999999999</v>
      </c>
      <c r="S441" s="124">
        <f>S442</f>
        <v>1492.3999999999999</v>
      </c>
    </row>
    <row r="442" spans="1:19" ht="18.75">
      <c r="A442" s="59"/>
      <c r="B442" s="60"/>
      <c r="C442" s="76"/>
      <c r="D442" s="73"/>
      <c r="E442" s="76"/>
      <c r="F442" s="76"/>
      <c r="G442" s="51"/>
      <c r="H442" s="2" t="s">
        <v>342</v>
      </c>
      <c r="I442" s="9">
        <v>668</v>
      </c>
      <c r="J442" s="11">
        <v>10</v>
      </c>
      <c r="K442" s="11">
        <v>6</v>
      </c>
      <c r="L442" s="57" t="s">
        <v>494</v>
      </c>
      <c r="M442" s="58" t="s">
        <v>220</v>
      </c>
      <c r="N442" s="58" t="s">
        <v>223</v>
      </c>
      <c r="O442" s="58" t="s">
        <v>341</v>
      </c>
      <c r="P442" s="7"/>
      <c r="Q442" s="124">
        <f>Q443+Q444</f>
        <v>1492.3999999999999</v>
      </c>
      <c r="R442" s="124">
        <f>R443+R444</f>
        <v>1492.3999999999999</v>
      </c>
      <c r="S442" s="124">
        <f>S443+S444</f>
        <v>1492.3999999999999</v>
      </c>
    </row>
    <row r="443" spans="1:19" ht="18.75">
      <c r="A443" s="61"/>
      <c r="B443" s="60"/>
      <c r="C443" s="59"/>
      <c r="D443" s="461">
        <v>5220000</v>
      </c>
      <c r="E443" s="462"/>
      <c r="F443" s="462"/>
      <c r="G443" s="51">
        <v>622</v>
      </c>
      <c r="H443" s="2" t="s">
        <v>204</v>
      </c>
      <c r="I443" s="9">
        <v>668</v>
      </c>
      <c r="J443" s="11">
        <v>10</v>
      </c>
      <c r="K443" s="11">
        <v>6</v>
      </c>
      <c r="L443" s="57" t="s">
        <v>494</v>
      </c>
      <c r="M443" s="58" t="s">
        <v>220</v>
      </c>
      <c r="N443" s="58" t="s">
        <v>223</v>
      </c>
      <c r="O443" s="58" t="s">
        <v>341</v>
      </c>
      <c r="P443" s="7">
        <v>120</v>
      </c>
      <c r="Q443" s="124">
        <f>1448.6+6.8</f>
        <v>1455.3999999999999</v>
      </c>
      <c r="R443" s="124">
        <v>1448.6</v>
      </c>
      <c r="S443" s="124">
        <v>1448.6</v>
      </c>
    </row>
    <row r="444" spans="1:19" ht="18.75">
      <c r="A444" s="61"/>
      <c r="B444" s="60"/>
      <c r="C444" s="59"/>
      <c r="D444" s="461">
        <v>5220000</v>
      </c>
      <c r="E444" s="462"/>
      <c r="F444" s="462"/>
      <c r="G444" s="51">
        <v>622</v>
      </c>
      <c r="H444" s="2" t="s">
        <v>299</v>
      </c>
      <c r="I444" s="9">
        <v>668</v>
      </c>
      <c r="J444" s="11">
        <v>10</v>
      </c>
      <c r="K444" s="11">
        <v>6</v>
      </c>
      <c r="L444" s="57" t="s">
        <v>494</v>
      </c>
      <c r="M444" s="58" t="s">
        <v>220</v>
      </c>
      <c r="N444" s="58" t="s">
        <v>223</v>
      </c>
      <c r="O444" s="58" t="s">
        <v>341</v>
      </c>
      <c r="P444" s="7">
        <v>240</v>
      </c>
      <c r="Q444" s="124">
        <f>43.8-6.8</f>
        <v>37</v>
      </c>
      <c r="R444" s="124">
        <v>43.8</v>
      </c>
      <c r="S444" s="124">
        <v>43.8</v>
      </c>
    </row>
    <row r="445" spans="1:19" ht="63">
      <c r="A445" s="61"/>
      <c r="B445" s="60"/>
      <c r="C445" s="76"/>
      <c r="D445" s="69"/>
      <c r="E445" s="64"/>
      <c r="F445" s="64"/>
      <c r="G445" s="51"/>
      <c r="H445" s="2" t="s">
        <v>956</v>
      </c>
      <c r="I445" s="9">
        <v>668</v>
      </c>
      <c r="J445" s="11">
        <v>10</v>
      </c>
      <c r="K445" s="11">
        <v>6</v>
      </c>
      <c r="L445" s="57" t="s">
        <v>494</v>
      </c>
      <c r="M445" s="58" t="s">
        <v>220</v>
      </c>
      <c r="N445" s="58" t="s">
        <v>225</v>
      </c>
      <c r="O445" s="58" t="s">
        <v>261</v>
      </c>
      <c r="P445" s="7"/>
      <c r="Q445" s="124">
        <f>Q446</f>
        <v>81</v>
      </c>
      <c r="R445" s="124">
        <f>R446</f>
        <v>100</v>
      </c>
      <c r="S445" s="124">
        <f>S446</f>
        <v>100</v>
      </c>
    </row>
    <row r="446" spans="1:19" ht="18.75">
      <c r="A446" s="61"/>
      <c r="B446" s="60"/>
      <c r="C446" s="76"/>
      <c r="D446" s="69"/>
      <c r="E446" s="64"/>
      <c r="F446" s="64"/>
      <c r="G446" s="51"/>
      <c r="H446" s="2" t="s">
        <v>384</v>
      </c>
      <c r="I446" s="9">
        <v>668</v>
      </c>
      <c r="J446" s="11">
        <v>10</v>
      </c>
      <c r="K446" s="11">
        <v>6</v>
      </c>
      <c r="L446" s="57" t="s">
        <v>494</v>
      </c>
      <c r="M446" s="58" t="s">
        <v>220</v>
      </c>
      <c r="N446" s="58" t="s">
        <v>225</v>
      </c>
      <c r="O446" s="58" t="s">
        <v>910</v>
      </c>
      <c r="P446" s="7"/>
      <c r="Q446" s="124">
        <f>Q447+Q448</f>
        <v>81</v>
      </c>
      <c r="R446" s="124">
        <f>R447+R448</f>
        <v>100</v>
      </c>
      <c r="S446" s="124">
        <f>S447+S448</f>
        <v>100</v>
      </c>
    </row>
    <row r="447" spans="1:19" ht="18.75">
      <c r="A447" s="61"/>
      <c r="B447" s="60"/>
      <c r="C447" s="76"/>
      <c r="D447" s="69"/>
      <c r="E447" s="64"/>
      <c r="F447" s="64"/>
      <c r="G447" s="51"/>
      <c r="H447" s="2" t="s">
        <v>299</v>
      </c>
      <c r="I447" s="9">
        <v>668</v>
      </c>
      <c r="J447" s="11">
        <v>10</v>
      </c>
      <c r="K447" s="11">
        <v>6</v>
      </c>
      <c r="L447" s="57" t="s">
        <v>494</v>
      </c>
      <c r="M447" s="58" t="s">
        <v>220</v>
      </c>
      <c r="N447" s="58" t="s">
        <v>225</v>
      </c>
      <c r="O447" s="58" t="s">
        <v>910</v>
      </c>
      <c r="P447" s="7">
        <v>240</v>
      </c>
      <c r="Q447" s="124">
        <f>100-19</f>
        <v>81</v>
      </c>
      <c r="R447" s="124">
        <v>100</v>
      </c>
      <c r="S447" s="124">
        <v>100</v>
      </c>
    </row>
    <row r="448" spans="1:19" ht="18.75" hidden="1">
      <c r="A448" s="61"/>
      <c r="B448" s="60"/>
      <c r="C448" s="76"/>
      <c r="D448" s="69"/>
      <c r="E448" s="64"/>
      <c r="F448" s="64"/>
      <c r="G448" s="51"/>
      <c r="H448" s="2" t="s">
        <v>911</v>
      </c>
      <c r="I448" s="9">
        <v>668</v>
      </c>
      <c r="J448" s="11">
        <v>10</v>
      </c>
      <c r="K448" s="11">
        <v>6</v>
      </c>
      <c r="L448" s="57" t="s">
        <v>494</v>
      </c>
      <c r="M448" s="58" t="s">
        <v>220</v>
      </c>
      <c r="N448" s="58" t="s">
        <v>225</v>
      </c>
      <c r="O448" s="58" t="s">
        <v>910</v>
      </c>
      <c r="P448" s="7">
        <v>350</v>
      </c>
      <c r="Q448" s="124"/>
      <c r="R448" s="124"/>
      <c r="S448" s="124"/>
    </row>
    <row r="449" spans="1:19" ht="31.5">
      <c r="A449" s="59"/>
      <c r="B449" s="60"/>
      <c r="C449" s="68"/>
      <c r="D449" s="73"/>
      <c r="E449" s="76"/>
      <c r="F449" s="76"/>
      <c r="G449" s="51"/>
      <c r="H449" s="2" t="s">
        <v>557</v>
      </c>
      <c r="I449" s="5">
        <v>668</v>
      </c>
      <c r="J449" s="11">
        <v>10</v>
      </c>
      <c r="K449" s="11">
        <v>6</v>
      </c>
      <c r="L449" s="57" t="s">
        <v>502</v>
      </c>
      <c r="M449" s="58" t="s">
        <v>220</v>
      </c>
      <c r="N449" s="58" t="s">
        <v>229</v>
      </c>
      <c r="O449" s="58" t="s">
        <v>261</v>
      </c>
      <c r="P449" s="7"/>
      <c r="Q449" s="124">
        <f>Q450</f>
        <v>50</v>
      </c>
      <c r="R449" s="124">
        <f aca="true" t="shared" si="50" ref="R449:S451">R450</f>
        <v>50</v>
      </c>
      <c r="S449" s="124">
        <f t="shared" si="50"/>
        <v>50</v>
      </c>
    </row>
    <row r="450" spans="1:19" ht="31.5">
      <c r="A450" s="61"/>
      <c r="B450" s="60"/>
      <c r="C450" s="59"/>
      <c r="D450" s="461">
        <v>5220000</v>
      </c>
      <c r="E450" s="462"/>
      <c r="F450" s="462"/>
      <c r="G450" s="51">
        <v>622</v>
      </c>
      <c r="H450" s="2" t="s">
        <v>958</v>
      </c>
      <c r="I450" s="9">
        <v>668</v>
      </c>
      <c r="J450" s="11">
        <v>10</v>
      </c>
      <c r="K450" s="11">
        <v>6</v>
      </c>
      <c r="L450" s="57" t="s">
        <v>502</v>
      </c>
      <c r="M450" s="58" t="s">
        <v>220</v>
      </c>
      <c r="N450" s="58" t="s">
        <v>221</v>
      </c>
      <c r="O450" s="58" t="s">
        <v>261</v>
      </c>
      <c r="P450" s="7"/>
      <c r="Q450" s="124">
        <f>Q451</f>
        <v>50</v>
      </c>
      <c r="R450" s="124">
        <f t="shared" si="50"/>
        <v>50</v>
      </c>
      <c r="S450" s="124">
        <f t="shared" si="50"/>
        <v>50</v>
      </c>
    </row>
    <row r="451" spans="1:19" ht="18.75">
      <c r="A451" s="59"/>
      <c r="B451" s="60"/>
      <c r="C451" s="68"/>
      <c r="D451" s="73"/>
      <c r="E451" s="76"/>
      <c r="F451" s="76"/>
      <c r="G451" s="51"/>
      <c r="H451" s="2" t="s">
        <v>470</v>
      </c>
      <c r="I451" s="5">
        <v>668</v>
      </c>
      <c r="J451" s="11">
        <v>10</v>
      </c>
      <c r="K451" s="11">
        <v>6</v>
      </c>
      <c r="L451" s="57" t="s">
        <v>502</v>
      </c>
      <c r="M451" s="58" t="s">
        <v>220</v>
      </c>
      <c r="N451" s="58" t="s">
        <v>221</v>
      </c>
      <c r="O451" s="58" t="s">
        <v>503</v>
      </c>
      <c r="P451" s="7"/>
      <c r="Q451" s="124">
        <f>Q452</f>
        <v>50</v>
      </c>
      <c r="R451" s="124">
        <f t="shared" si="50"/>
        <v>50</v>
      </c>
      <c r="S451" s="124">
        <f t="shared" si="50"/>
        <v>50</v>
      </c>
    </row>
    <row r="452" spans="1:19" ht="31.5">
      <c r="A452" s="59"/>
      <c r="B452" s="60"/>
      <c r="C452" s="76"/>
      <c r="D452" s="73"/>
      <c r="E452" s="76"/>
      <c r="F452" s="76"/>
      <c r="G452" s="51"/>
      <c r="H452" s="2" t="s">
        <v>449</v>
      </c>
      <c r="I452" s="9">
        <v>668</v>
      </c>
      <c r="J452" s="11">
        <v>10</v>
      </c>
      <c r="K452" s="11">
        <v>6</v>
      </c>
      <c r="L452" s="57" t="s">
        <v>502</v>
      </c>
      <c r="M452" s="58" t="s">
        <v>220</v>
      </c>
      <c r="N452" s="58" t="s">
        <v>221</v>
      </c>
      <c r="O452" s="58" t="s">
        <v>503</v>
      </c>
      <c r="P452" s="7">
        <v>630</v>
      </c>
      <c r="Q452" s="124">
        <v>50</v>
      </c>
      <c r="R452" s="124">
        <v>50</v>
      </c>
      <c r="S452" s="124">
        <v>50</v>
      </c>
    </row>
    <row r="453" spans="1:19" s="113" customFormat="1" ht="19.5">
      <c r="A453" s="89"/>
      <c r="B453" s="90"/>
      <c r="C453" s="89"/>
      <c r="D453" s="467">
        <v>5220000</v>
      </c>
      <c r="E453" s="468"/>
      <c r="F453" s="468"/>
      <c r="G453" s="84">
        <v>622</v>
      </c>
      <c r="H453" s="244" t="s">
        <v>250</v>
      </c>
      <c r="I453" s="251">
        <v>668</v>
      </c>
      <c r="J453" s="86">
        <v>11</v>
      </c>
      <c r="K453" s="86" t="s">
        <v>262</v>
      </c>
      <c r="L453" s="87"/>
      <c r="M453" s="88"/>
      <c r="N453" s="88"/>
      <c r="O453" s="88"/>
      <c r="P453" s="85"/>
      <c r="Q453" s="123">
        <f>Q454</f>
        <v>26148.1</v>
      </c>
      <c r="R453" s="123">
        <f>R454</f>
        <v>17023.7</v>
      </c>
      <c r="S453" s="123">
        <f>S454</f>
        <v>17574</v>
      </c>
    </row>
    <row r="454" spans="1:19" s="113" customFormat="1" ht="19.5">
      <c r="A454" s="89"/>
      <c r="B454" s="90"/>
      <c r="C454" s="104"/>
      <c r="D454" s="128"/>
      <c r="E454" s="106"/>
      <c r="F454" s="106"/>
      <c r="G454" s="84"/>
      <c r="H454" s="244" t="s">
        <v>251</v>
      </c>
      <c r="I454" s="99">
        <v>668</v>
      </c>
      <c r="J454" s="86">
        <v>11</v>
      </c>
      <c r="K454" s="86">
        <v>1</v>
      </c>
      <c r="L454" s="87"/>
      <c r="M454" s="88"/>
      <c r="N454" s="88"/>
      <c r="O454" s="88"/>
      <c r="P454" s="85"/>
      <c r="Q454" s="123">
        <f>Q459+Q455</f>
        <v>26148.1</v>
      </c>
      <c r="R454" s="123">
        <f>R459+R455</f>
        <v>17023.7</v>
      </c>
      <c r="S454" s="123">
        <f>S459+S455</f>
        <v>17574</v>
      </c>
    </row>
    <row r="455" spans="1:19" s="113" customFormat="1" ht="31.5">
      <c r="A455" s="89"/>
      <c r="B455" s="90"/>
      <c r="C455" s="106"/>
      <c r="D455" s="128"/>
      <c r="E455" s="106"/>
      <c r="F455" s="106"/>
      <c r="G455" s="84"/>
      <c r="H455" s="25" t="s">
        <v>583</v>
      </c>
      <c r="I455" s="9">
        <v>668</v>
      </c>
      <c r="J455" s="11">
        <v>11</v>
      </c>
      <c r="K455" s="11">
        <v>1</v>
      </c>
      <c r="L455" s="57" t="s">
        <v>221</v>
      </c>
      <c r="M455" s="58" t="s">
        <v>220</v>
      </c>
      <c r="N455" s="58" t="s">
        <v>229</v>
      </c>
      <c r="O455" s="58" t="s">
        <v>261</v>
      </c>
      <c r="P455" s="7"/>
      <c r="Q455" s="124">
        <f aca="true" t="shared" si="51" ref="Q455:S457">Q456</f>
        <v>14.7</v>
      </c>
      <c r="R455" s="124">
        <f t="shared" si="51"/>
        <v>90</v>
      </c>
      <c r="S455" s="124">
        <f t="shared" si="51"/>
        <v>90</v>
      </c>
    </row>
    <row r="456" spans="1:19" s="113" customFormat="1" ht="31.5">
      <c r="A456" s="89"/>
      <c r="B456" s="90"/>
      <c r="C456" s="106"/>
      <c r="D456" s="128"/>
      <c r="E456" s="106"/>
      <c r="F456" s="106"/>
      <c r="G456" s="84"/>
      <c r="H456" s="25" t="s">
        <v>289</v>
      </c>
      <c r="I456" s="9">
        <v>668</v>
      </c>
      <c r="J456" s="11">
        <v>11</v>
      </c>
      <c r="K456" s="11">
        <v>1</v>
      </c>
      <c r="L456" s="57" t="s">
        <v>221</v>
      </c>
      <c r="M456" s="58" t="s">
        <v>220</v>
      </c>
      <c r="N456" s="58" t="s">
        <v>232</v>
      </c>
      <c r="O456" s="58" t="s">
        <v>261</v>
      </c>
      <c r="P456" s="7"/>
      <c r="Q456" s="124">
        <f t="shared" si="51"/>
        <v>14.7</v>
      </c>
      <c r="R456" s="124">
        <f t="shared" si="51"/>
        <v>90</v>
      </c>
      <c r="S456" s="124">
        <f t="shared" si="51"/>
        <v>90</v>
      </c>
    </row>
    <row r="457" spans="1:19" s="113" customFormat="1" ht="18.75">
      <c r="A457" s="89"/>
      <c r="B457" s="90"/>
      <c r="C457" s="106"/>
      <c r="D457" s="128"/>
      <c r="E457" s="106"/>
      <c r="F457" s="106"/>
      <c r="G457" s="84"/>
      <c r="H457" s="303" t="s">
        <v>43</v>
      </c>
      <c r="I457" s="9">
        <v>668</v>
      </c>
      <c r="J457" s="11">
        <v>11</v>
      </c>
      <c r="K457" s="11">
        <v>1</v>
      </c>
      <c r="L457" s="57" t="s">
        <v>221</v>
      </c>
      <c r="M457" s="58" t="s">
        <v>220</v>
      </c>
      <c r="N457" s="58" t="s">
        <v>232</v>
      </c>
      <c r="O457" s="58" t="s">
        <v>42</v>
      </c>
      <c r="P457" s="7"/>
      <c r="Q457" s="124">
        <f t="shared" si="51"/>
        <v>14.7</v>
      </c>
      <c r="R457" s="124">
        <f t="shared" si="51"/>
        <v>90</v>
      </c>
      <c r="S457" s="124">
        <f t="shared" si="51"/>
        <v>90</v>
      </c>
    </row>
    <row r="458" spans="1:19" s="113" customFormat="1" ht="18.75">
      <c r="A458" s="89"/>
      <c r="B458" s="90"/>
      <c r="C458" s="106"/>
      <c r="D458" s="128"/>
      <c r="E458" s="106"/>
      <c r="F458" s="106"/>
      <c r="G458" s="84"/>
      <c r="H458" s="25" t="s">
        <v>301</v>
      </c>
      <c r="I458" s="9">
        <v>668</v>
      </c>
      <c r="J458" s="11">
        <v>11</v>
      </c>
      <c r="K458" s="11">
        <v>1</v>
      </c>
      <c r="L458" s="57" t="s">
        <v>221</v>
      </c>
      <c r="M458" s="58" t="s">
        <v>220</v>
      </c>
      <c r="N458" s="58" t="s">
        <v>232</v>
      </c>
      <c r="O458" s="58" t="s">
        <v>42</v>
      </c>
      <c r="P458" s="7">
        <v>610</v>
      </c>
      <c r="Q458" s="124">
        <f>90-90+14.7</f>
        <v>14.7</v>
      </c>
      <c r="R458" s="124">
        <v>90</v>
      </c>
      <c r="S458" s="124">
        <v>90</v>
      </c>
    </row>
    <row r="459" spans="1:19" ht="31.5">
      <c r="A459" s="59"/>
      <c r="B459" s="60"/>
      <c r="C459" s="76"/>
      <c r="D459" s="73"/>
      <c r="E459" s="76"/>
      <c r="F459" s="76"/>
      <c r="G459" s="51"/>
      <c r="H459" s="2" t="s">
        <v>558</v>
      </c>
      <c r="I459" s="9">
        <v>668</v>
      </c>
      <c r="J459" s="11">
        <v>11</v>
      </c>
      <c r="K459" s="11">
        <v>1</v>
      </c>
      <c r="L459" s="57" t="s">
        <v>237</v>
      </c>
      <c r="M459" s="58" t="s">
        <v>220</v>
      </c>
      <c r="N459" s="58" t="s">
        <v>229</v>
      </c>
      <c r="O459" s="58" t="s">
        <v>261</v>
      </c>
      <c r="P459" s="7"/>
      <c r="Q459" s="124">
        <f>Q463+Q468+Q460+Q477+Q480</f>
        <v>26133.399999999998</v>
      </c>
      <c r="R459" s="124">
        <f>R463+R468+R460+R477+R480</f>
        <v>16933.7</v>
      </c>
      <c r="S459" s="124">
        <f>S463+S468+S460+S477+S480</f>
        <v>17484</v>
      </c>
    </row>
    <row r="460" spans="1:19" ht="31.5">
      <c r="A460" s="59"/>
      <c r="B460" s="60"/>
      <c r="C460" s="76"/>
      <c r="D460" s="73"/>
      <c r="E460" s="76"/>
      <c r="F460" s="76"/>
      <c r="G460" s="51"/>
      <c r="H460" s="2" t="s">
        <v>382</v>
      </c>
      <c r="I460" s="9">
        <v>668</v>
      </c>
      <c r="J460" s="11">
        <v>11</v>
      </c>
      <c r="K460" s="11">
        <v>1</v>
      </c>
      <c r="L460" s="57" t="s">
        <v>237</v>
      </c>
      <c r="M460" s="58" t="s">
        <v>220</v>
      </c>
      <c r="N460" s="58" t="s">
        <v>221</v>
      </c>
      <c r="O460" s="58" t="s">
        <v>261</v>
      </c>
      <c r="P460" s="7"/>
      <c r="Q460" s="124">
        <f aca="true" t="shared" si="52" ref="Q460:S461">Q461</f>
        <v>160</v>
      </c>
      <c r="R460" s="124">
        <f t="shared" si="52"/>
        <v>160</v>
      </c>
      <c r="S460" s="124">
        <f t="shared" si="52"/>
        <v>160</v>
      </c>
    </row>
    <row r="461" spans="1:19" ht="18.75">
      <c r="A461" s="59"/>
      <c r="B461" s="60"/>
      <c r="C461" s="76"/>
      <c r="D461" s="73"/>
      <c r="E461" s="76"/>
      <c r="F461" s="76"/>
      <c r="G461" s="51"/>
      <c r="H461" s="2" t="s">
        <v>43</v>
      </c>
      <c r="I461" s="9">
        <v>668</v>
      </c>
      <c r="J461" s="11">
        <v>11</v>
      </c>
      <c r="K461" s="11">
        <v>1</v>
      </c>
      <c r="L461" s="57" t="s">
        <v>237</v>
      </c>
      <c r="M461" s="58" t="s">
        <v>220</v>
      </c>
      <c r="N461" s="58" t="s">
        <v>221</v>
      </c>
      <c r="O461" s="58" t="s">
        <v>42</v>
      </c>
      <c r="P461" s="7"/>
      <c r="Q461" s="124">
        <f t="shared" si="52"/>
        <v>160</v>
      </c>
      <c r="R461" s="124">
        <f t="shared" si="52"/>
        <v>160</v>
      </c>
      <c r="S461" s="124">
        <f t="shared" si="52"/>
        <v>160</v>
      </c>
    </row>
    <row r="462" spans="1:19" ht="18.75">
      <c r="A462" s="59"/>
      <c r="B462" s="60"/>
      <c r="C462" s="76"/>
      <c r="D462" s="73"/>
      <c r="E462" s="76"/>
      <c r="F462" s="76"/>
      <c r="G462" s="51"/>
      <c r="H462" s="2" t="s">
        <v>301</v>
      </c>
      <c r="I462" s="9">
        <v>668</v>
      </c>
      <c r="J462" s="11">
        <v>11</v>
      </c>
      <c r="K462" s="11">
        <v>1</v>
      </c>
      <c r="L462" s="57" t="s">
        <v>237</v>
      </c>
      <c r="M462" s="58" t="s">
        <v>220</v>
      </c>
      <c r="N462" s="58" t="s">
        <v>221</v>
      </c>
      <c r="O462" s="58" t="s">
        <v>42</v>
      </c>
      <c r="P462" s="7">
        <v>610</v>
      </c>
      <c r="Q462" s="124">
        <v>160</v>
      </c>
      <c r="R462" s="124">
        <v>160</v>
      </c>
      <c r="S462" s="124">
        <v>160</v>
      </c>
    </row>
    <row r="463" spans="1:19" ht="18.75">
      <c r="A463" s="61"/>
      <c r="B463" s="60"/>
      <c r="C463" s="59"/>
      <c r="D463" s="461">
        <v>5220000</v>
      </c>
      <c r="E463" s="462"/>
      <c r="F463" s="462"/>
      <c r="G463" s="51">
        <v>622</v>
      </c>
      <c r="H463" s="2" t="s">
        <v>44</v>
      </c>
      <c r="I463" s="9">
        <v>668</v>
      </c>
      <c r="J463" s="11">
        <v>11</v>
      </c>
      <c r="K463" s="11">
        <v>1</v>
      </c>
      <c r="L463" s="57" t="s">
        <v>237</v>
      </c>
      <c r="M463" s="58" t="s">
        <v>220</v>
      </c>
      <c r="N463" s="58" t="s">
        <v>236</v>
      </c>
      <c r="O463" s="58" t="s">
        <v>261</v>
      </c>
      <c r="P463" s="7"/>
      <c r="Q463" s="124">
        <f>Q464+Q466</f>
        <v>14799.199999999999</v>
      </c>
      <c r="R463" s="124">
        <f>R464+R466</f>
        <v>15446.2</v>
      </c>
      <c r="S463" s="124">
        <f>S464+S466</f>
        <v>15996.5</v>
      </c>
    </row>
    <row r="464" spans="1:19" ht="18.75">
      <c r="A464" s="59"/>
      <c r="B464" s="60"/>
      <c r="C464" s="68"/>
      <c r="D464" s="73"/>
      <c r="E464" s="76"/>
      <c r="F464" s="76"/>
      <c r="G464" s="51"/>
      <c r="H464" s="2" t="s">
        <v>43</v>
      </c>
      <c r="I464" s="5">
        <v>668</v>
      </c>
      <c r="J464" s="11">
        <v>11</v>
      </c>
      <c r="K464" s="11">
        <v>1</v>
      </c>
      <c r="L464" s="57" t="s">
        <v>237</v>
      </c>
      <c r="M464" s="58" t="s">
        <v>220</v>
      </c>
      <c r="N464" s="58" t="s">
        <v>236</v>
      </c>
      <c r="O464" s="58" t="s">
        <v>42</v>
      </c>
      <c r="P464" s="7"/>
      <c r="Q464" s="124">
        <f>Q465</f>
        <v>9466.8</v>
      </c>
      <c r="R464" s="124">
        <f>R465</f>
        <v>9668.6</v>
      </c>
      <c r="S464" s="124">
        <f>S465</f>
        <v>9677.3</v>
      </c>
    </row>
    <row r="465" spans="1:19" ht="18.75">
      <c r="A465" s="59"/>
      <c r="B465" s="60"/>
      <c r="C465" s="76"/>
      <c r="D465" s="73"/>
      <c r="E465" s="76"/>
      <c r="F465" s="76"/>
      <c r="G465" s="51"/>
      <c r="H465" s="2" t="s">
        <v>301</v>
      </c>
      <c r="I465" s="9">
        <v>668</v>
      </c>
      <c r="J465" s="11">
        <v>11</v>
      </c>
      <c r="K465" s="11">
        <v>1</v>
      </c>
      <c r="L465" s="57" t="s">
        <v>237</v>
      </c>
      <c r="M465" s="58" t="s">
        <v>220</v>
      </c>
      <c r="N465" s="58" t="s">
        <v>236</v>
      </c>
      <c r="O465" s="58" t="s">
        <v>42</v>
      </c>
      <c r="P465" s="7">
        <v>610</v>
      </c>
      <c r="Q465" s="124">
        <f>9266.8-214.3+214.3+200</f>
        <v>9466.8</v>
      </c>
      <c r="R465" s="124">
        <v>9668.6</v>
      </c>
      <c r="S465" s="124">
        <v>9677.3</v>
      </c>
    </row>
    <row r="466" spans="1:19" ht="31.5">
      <c r="A466" s="61"/>
      <c r="B466" s="60"/>
      <c r="C466" s="59"/>
      <c r="D466" s="461">
        <v>5220000</v>
      </c>
      <c r="E466" s="462"/>
      <c r="F466" s="462"/>
      <c r="G466" s="51">
        <v>622</v>
      </c>
      <c r="H466" s="2" t="s">
        <v>374</v>
      </c>
      <c r="I466" s="9">
        <v>668</v>
      </c>
      <c r="J466" s="11">
        <v>11</v>
      </c>
      <c r="K466" s="11">
        <v>1</v>
      </c>
      <c r="L466" s="57" t="s">
        <v>237</v>
      </c>
      <c r="M466" s="58" t="s">
        <v>220</v>
      </c>
      <c r="N466" s="58" t="s">
        <v>236</v>
      </c>
      <c r="O466" s="58" t="s">
        <v>373</v>
      </c>
      <c r="P466" s="7"/>
      <c r="Q466" s="124">
        <f>Q467</f>
        <v>5332.4</v>
      </c>
      <c r="R466" s="124">
        <f>R467</f>
        <v>5777.6</v>
      </c>
      <c r="S466" s="124">
        <f>S467</f>
        <v>6319.2</v>
      </c>
    </row>
    <row r="467" spans="1:19" ht="18.75">
      <c r="A467" s="59"/>
      <c r="B467" s="60"/>
      <c r="C467" s="68"/>
      <c r="D467" s="73"/>
      <c r="E467" s="76"/>
      <c r="F467" s="76"/>
      <c r="G467" s="51"/>
      <c r="H467" s="2" t="s">
        <v>301</v>
      </c>
      <c r="I467" s="5">
        <v>668</v>
      </c>
      <c r="J467" s="11">
        <v>11</v>
      </c>
      <c r="K467" s="11">
        <v>1</v>
      </c>
      <c r="L467" s="57" t="s">
        <v>237</v>
      </c>
      <c r="M467" s="58" t="s">
        <v>220</v>
      </c>
      <c r="N467" s="58" t="s">
        <v>236</v>
      </c>
      <c r="O467" s="58" t="s">
        <v>373</v>
      </c>
      <c r="P467" s="7">
        <v>610</v>
      </c>
      <c r="Q467" s="124">
        <v>5332.4</v>
      </c>
      <c r="R467" s="124">
        <v>5777.6</v>
      </c>
      <c r="S467" s="124">
        <v>6319.2</v>
      </c>
    </row>
    <row r="468" spans="1:19" ht="31.5">
      <c r="A468" s="59"/>
      <c r="B468" s="60"/>
      <c r="C468" s="76"/>
      <c r="D468" s="73"/>
      <c r="E468" s="76"/>
      <c r="F468" s="76"/>
      <c r="G468" s="51"/>
      <c r="H468" s="2" t="s">
        <v>448</v>
      </c>
      <c r="I468" s="9">
        <v>668</v>
      </c>
      <c r="J468" s="11">
        <v>11</v>
      </c>
      <c r="K468" s="11">
        <v>1</v>
      </c>
      <c r="L468" s="57" t="s">
        <v>237</v>
      </c>
      <c r="M468" s="58" t="s">
        <v>220</v>
      </c>
      <c r="N468" s="58" t="s">
        <v>237</v>
      </c>
      <c r="O468" s="58" t="s">
        <v>261</v>
      </c>
      <c r="P468" s="7"/>
      <c r="Q468" s="124">
        <f>Q471+Q473+Q475+Q469</f>
        <v>8142.2</v>
      </c>
      <c r="R468" s="124">
        <f>R471+R473+R475+R469</f>
        <v>666.7</v>
      </c>
      <c r="S468" s="124">
        <f>S471+S473+S475+S469</f>
        <v>666.7</v>
      </c>
    </row>
    <row r="469" spans="1:19" ht="31.5" hidden="1">
      <c r="A469" s="59"/>
      <c r="B469" s="60"/>
      <c r="C469" s="76"/>
      <c r="D469" s="73"/>
      <c r="E469" s="76"/>
      <c r="F469" s="76"/>
      <c r="G469" s="51"/>
      <c r="H469" s="304" t="s">
        <v>917</v>
      </c>
      <c r="I469" s="9">
        <v>668</v>
      </c>
      <c r="J469" s="11">
        <v>11</v>
      </c>
      <c r="K469" s="11">
        <v>1</v>
      </c>
      <c r="L469" s="57" t="s">
        <v>237</v>
      </c>
      <c r="M469" s="58" t="s">
        <v>220</v>
      </c>
      <c r="N469" s="58" t="s">
        <v>237</v>
      </c>
      <c r="O469" s="58" t="s">
        <v>918</v>
      </c>
      <c r="P469" s="7"/>
      <c r="Q469" s="124">
        <f>Q470</f>
        <v>0</v>
      </c>
      <c r="R469" s="124">
        <f>R470</f>
        <v>0</v>
      </c>
      <c r="S469" s="124">
        <f>S470</f>
        <v>0</v>
      </c>
    </row>
    <row r="470" spans="1:19" ht="18.75" hidden="1">
      <c r="A470" s="59"/>
      <c r="B470" s="60"/>
      <c r="C470" s="76"/>
      <c r="D470" s="73"/>
      <c r="E470" s="76"/>
      <c r="F470" s="76"/>
      <c r="G470" s="51"/>
      <c r="H470" s="2" t="s">
        <v>301</v>
      </c>
      <c r="I470" s="9">
        <v>668</v>
      </c>
      <c r="J470" s="11">
        <v>11</v>
      </c>
      <c r="K470" s="11">
        <v>1</v>
      </c>
      <c r="L470" s="57" t="s">
        <v>237</v>
      </c>
      <c r="M470" s="58" t="s">
        <v>220</v>
      </c>
      <c r="N470" s="58" t="s">
        <v>237</v>
      </c>
      <c r="O470" s="58" t="s">
        <v>918</v>
      </c>
      <c r="P470" s="7">
        <v>610</v>
      </c>
      <c r="Q470" s="124"/>
      <c r="R470" s="124"/>
      <c r="S470" s="124"/>
    </row>
    <row r="471" spans="1:19" ht="31.5">
      <c r="A471" s="61"/>
      <c r="B471" s="60"/>
      <c r="C471" s="59"/>
      <c r="D471" s="461">
        <v>5220000</v>
      </c>
      <c r="E471" s="462"/>
      <c r="F471" s="462"/>
      <c r="G471" s="51">
        <v>622</v>
      </c>
      <c r="H471" s="2" t="s">
        <v>383</v>
      </c>
      <c r="I471" s="9">
        <v>668</v>
      </c>
      <c r="J471" s="11">
        <v>11</v>
      </c>
      <c r="K471" s="11">
        <v>1</v>
      </c>
      <c r="L471" s="57" t="s">
        <v>237</v>
      </c>
      <c r="M471" s="58" t="s">
        <v>220</v>
      </c>
      <c r="N471" s="58" t="s">
        <v>237</v>
      </c>
      <c r="O471" s="58" t="s">
        <v>276</v>
      </c>
      <c r="P471" s="7"/>
      <c r="Q471" s="124">
        <f>Q472</f>
        <v>1000</v>
      </c>
      <c r="R471" s="124">
        <f>R472</f>
        <v>666.7</v>
      </c>
      <c r="S471" s="124">
        <f>S472</f>
        <v>666.7</v>
      </c>
    </row>
    <row r="472" spans="1:19" ht="18.75">
      <c r="A472" s="59"/>
      <c r="B472" s="60"/>
      <c r="C472" s="68"/>
      <c r="D472" s="73"/>
      <c r="E472" s="76"/>
      <c r="F472" s="76"/>
      <c r="G472" s="51"/>
      <c r="H472" s="2" t="s">
        <v>301</v>
      </c>
      <c r="I472" s="5">
        <v>668</v>
      </c>
      <c r="J472" s="11">
        <v>11</v>
      </c>
      <c r="K472" s="11">
        <v>1</v>
      </c>
      <c r="L472" s="57" t="s">
        <v>237</v>
      </c>
      <c r="M472" s="58" t="s">
        <v>220</v>
      </c>
      <c r="N472" s="58" t="s">
        <v>237</v>
      </c>
      <c r="O472" s="58" t="s">
        <v>276</v>
      </c>
      <c r="P472" s="7">
        <v>610</v>
      </c>
      <c r="Q472" s="124">
        <v>1000</v>
      </c>
      <c r="R472" s="124">
        <v>666.7</v>
      </c>
      <c r="S472" s="124">
        <v>666.7</v>
      </c>
    </row>
    <row r="473" spans="1:19" ht="31.5" hidden="1">
      <c r="A473" s="59"/>
      <c r="B473" s="60"/>
      <c r="C473" s="68"/>
      <c r="D473" s="73"/>
      <c r="E473" s="76"/>
      <c r="F473" s="76"/>
      <c r="G473" s="51"/>
      <c r="H473" s="2" t="s">
        <v>826</v>
      </c>
      <c r="I473" s="9">
        <v>668</v>
      </c>
      <c r="J473" s="11">
        <v>11</v>
      </c>
      <c r="K473" s="11">
        <v>1</v>
      </c>
      <c r="L473" s="57" t="s">
        <v>237</v>
      </c>
      <c r="M473" s="58" t="s">
        <v>220</v>
      </c>
      <c r="N473" s="58" t="s">
        <v>237</v>
      </c>
      <c r="O473" s="58" t="s">
        <v>825</v>
      </c>
      <c r="P473" s="7"/>
      <c r="Q473" s="124">
        <f>Q474</f>
        <v>0</v>
      </c>
      <c r="R473" s="124">
        <f>R474</f>
        <v>0</v>
      </c>
      <c r="S473" s="124">
        <f>S474</f>
        <v>0</v>
      </c>
    </row>
    <row r="474" spans="1:19" ht="18.75" hidden="1">
      <c r="A474" s="59"/>
      <c r="B474" s="60"/>
      <c r="C474" s="68"/>
      <c r="D474" s="73"/>
      <c r="E474" s="76"/>
      <c r="F474" s="76"/>
      <c r="G474" s="51"/>
      <c r="H474" s="2" t="s">
        <v>301</v>
      </c>
      <c r="I474" s="9">
        <v>668</v>
      </c>
      <c r="J474" s="11">
        <v>11</v>
      </c>
      <c r="K474" s="11">
        <v>1</v>
      </c>
      <c r="L474" s="57" t="s">
        <v>237</v>
      </c>
      <c r="M474" s="58" t="s">
        <v>220</v>
      </c>
      <c r="N474" s="58" t="s">
        <v>237</v>
      </c>
      <c r="O474" s="58" t="s">
        <v>825</v>
      </c>
      <c r="P474" s="7">
        <v>610</v>
      </c>
      <c r="Q474" s="124"/>
      <c r="R474" s="124"/>
      <c r="S474" s="124"/>
    </row>
    <row r="475" spans="1:19" ht="31.5">
      <c r="A475" s="59"/>
      <c r="B475" s="60"/>
      <c r="C475" s="68"/>
      <c r="D475" s="73"/>
      <c r="E475" s="76"/>
      <c r="F475" s="76"/>
      <c r="G475" s="51"/>
      <c r="H475" s="2" t="s">
        <v>913</v>
      </c>
      <c r="I475" s="9">
        <v>668</v>
      </c>
      <c r="J475" s="11">
        <v>11</v>
      </c>
      <c r="K475" s="11">
        <v>1</v>
      </c>
      <c r="L475" s="57" t="s">
        <v>237</v>
      </c>
      <c r="M475" s="58" t="s">
        <v>220</v>
      </c>
      <c r="N475" s="58" t="s">
        <v>237</v>
      </c>
      <c r="O475" s="58" t="s">
        <v>912</v>
      </c>
      <c r="P475" s="7"/>
      <c r="Q475" s="124">
        <f>Q476</f>
        <v>7142.2</v>
      </c>
      <c r="R475" s="124">
        <f>R476</f>
        <v>0</v>
      </c>
      <c r="S475" s="124">
        <f>S476</f>
        <v>0</v>
      </c>
    </row>
    <row r="476" spans="1:19" ht="18.75">
      <c r="A476" s="59"/>
      <c r="B476" s="60"/>
      <c r="C476" s="68"/>
      <c r="D476" s="73"/>
      <c r="E476" s="76"/>
      <c r="F476" s="76"/>
      <c r="G476" s="51"/>
      <c r="H476" s="2" t="s">
        <v>301</v>
      </c>
      <c r="I476" s="9">
        <v>668</v>
      </c>
      <c r="J476" s="11">
        <v>11</v>
      </c>
      <c r="K476" s="11">
        <v>1</v>
      </c>
      <c r="L476" s="57" t="s">
        <v>237</v>
      </c>
      <c r="M476" s="58" t="s">
        <v>220</v>
      </c>
      <c r="N476" s="58" t="s">
        <v>237</v>
      </c>
      <c r="O476" s="58" t="s">
        <v>912</v>
      </c>
      <c r="P476" s="7">
        <v>610</v>
      </c>
      <c r="Q476" s="124">
        <f>214.3+6927.9</f>
        <v>7142.2</v>
      </c>
      <c r="R476" s="124">
        <v>0</v>
      </c>
      <c r="S476" s="124">
        <v>0</v>
      </c>
    </row>
    <row r="477" spans="1:19" ht="31.5">
      <c r="A477" s="59"/>
      <c r="B477" s="60"/>
      <c r="C477" s="68"/>
      <c r="D477" s="73"/>
      <c r="E477" s="76"/>
      <c r="F477" s="76"/>
      <c r="G477" s="51"/>
      <c r="H477" s="2" t="s">
        <v>970</v>
      </c>
      <c r="I477" s="9">
        <v>668</v>
      </c>
      <c r="J477" s="11">
        <v>11</v>
      </c>
      <c r="K477" s="11">
        <v>1</v>
      </c>
      <c r="L477" s="57" t="s">
        <v>237</v>
      </c>
      <c r="M477" s="58" t="s">
        <v>220</v>
      </c>
      <c r="N477" s="58" t="s">
        <v>971</v>
      </c>
      <c r="O477" s="58" t="s">
        <v>261</v>
      </c>
      <c r="P477" s="7"/>
      <c r="Q477" s="124">
        <f aca="true" t="shared" si="53" ref="Q477:S478">Q478</f>
        <v>388.8</v>
      </c>
      <c r="R477" s="124">
        <f t="shared" si="53"/>
        <v>0</v>
      </c>
      <c r="S477" s="124">
        <f t="shared" si="53"/>
        <v>0</v>
      </c>
    </row>
    <row r="478" spans="1:19" ht="31.5">
      <c r="A478" s="59"/>
      <c r="B478" s="60"/>
      <c r="C478" s="68"/>
      <c r="D478" s="73"/>
      <c r="E478" s="76"/>
      <c r="F478" s="76"/>
      <c r="G478" s="51"/>
      <c r="H478" s="2" t="s">
        <v>973</v>
      </c>
      <c r="I478" s="9">
        <v>668</v>
      </c>
      <c r="J478" s="11">
        <v>11</v>
      </c>
      <c r="K478" s="11">
        <v>1</v>
      </c>
      <c r="L478" s="57" t="s">
        <v>237</v>
      </c>
      <c r="M478" s="58" t="s">
        <v>220</v>
      </c>
      <c r="N478" s="58" t="s">
        <v>971</v>
      </c>
      <c r="O478" s="58" t="s">
        <v>972</v>
      </c>
      <c r="P478" s="7"/>
      <c r="Q478" s="124">
        <f t="shared" si="53"/>
        <v>388.8</v>
      </c>
      <c r="R478" s="124">
        <f t="shared" si="53"/>
        <v>0</v>
      </c>
      <c r="S478" s="124">
        <f t="shared" si="53"/>
        <v>0</v>
      </c>
    </row>
    <row r="479" spans="1:19" ht="18.75">
      <c r="A479" s="59"/>
      <c r="B479" s="60"/>
      <c r="C479" s="68"/>
      <c r="D479" s="73"/>
      <c r="E479" s="76"/>
      <c r="F479" s="76"/>
      <c r="G479" s="51"/>
      <c r="H479" s="2" t="s">
        <v>301</v>
      </c>
      <c r="I479" s="9">
        <v>668</v>
      </c>
      <c r="J479" s="11">
        <v>11</v>
      </c>
      <c r="K479" s="11">
        <v>1</v>
      </c>
      <c r="L479" s="57" t="s">
        <v>237</v>
      </c>
      <c r="M479" s="58" t="s">
        <v>220</v>
      </c>
      <c r="N479" s="58" t="s">
        <v>971</v>
      </c>
      <c r="O479" s="58" t="s">
        <v>972</v>
      </c>
      <c r="P479" s="7">
        <v>610</v>
      </c>
      <c r="Q479" s="124">
        <v>388.8</v>
      </c>
      <c r="R479" s="124">
        <v>0</v>
      </c>
      <c r="S479" s="124">
        <v>0</v>
      </c>
    </row>
    <row r="480" spans="1:19" ht="31.5">
      <c r="A480" s="76"/>
      <c r="B480" s="73"/>
      <c r="C480" s="68"/>
      <c r="D480" s="73"/>
      <c r="E480" s="76"/>
      <c r="F480" s="76"/>
      <c r="G480" s="51"/>
      <c r="H480" s="2" t="s">
        <v>1045</v>
      </c>
      <c r="I480" s="9">
        <v>668</v>
      </c>
      <c r="J480" s="11">
        <v>11</v>
      </c>
      <c r="K480" s="11">
        <v>1</v>
      </c>
      <c r="L480" s="57" t="s">
        <v>237</v>
      </c>
      <c r="M480" s="58" t="s">
        <v>220</v>
      </c>
      <c r="N480" s="58" t="s">
        <v>223</v>
      </c>
      <c r="O480" s="58" t="s">
        <v>261</v>
      </c>
      <c r="P480" s="3"/>
      <c r="Q480" s="126">
        <f>Q483+Q481</f>
        <v>2643.2</v>
      </c>
      <c r="R480" s="126">
        <f>R483</f>
        <v>660.8000000000001</v>
      </c>
      <c r="S480" s="126">
        <f>S483</f>
        <v>660.8000000000001</v>
      </c>
    </row>
    <row r="481" spans="1:19" ht="18.75">
      <c r="A481" s="76"/>
      <c r="B481" s="73"/>
      <c r="C481" s="68"/>
      <c r="D481" s="73"/>
      <c r="E481" s="76"/>
      <c r="F481" s="76"/>
      <c r="G481" s="51"/>
      <c r="H481" s="2" t="s">
        <v>43</v>
      </c>
      <c r="I481" s="9">
        <v>668</v>
      </c>
      <c r="J481" s="11">
        <v>11</v>
      </c>
      <c r="K481" s="11">
        <v>1</v>
      </c>
      <c r="L481" s="57" t="s">
        <v>237</v>
      </c>
      <c r="M481" s="58" t="s">
        <v>220</v>
      </c>
      <c r="N481" s="58" t="s">
        <v>223</v>
      </c>
      <c r="O481" s="58" t="s">
        <v>42</v>
      </c>
      <c r="P481" s="3"/>
      <c r="Q481" s="126">
        <f>Q482</f>
        <v>1100</v>
      </c>
      <c r="R481" s="126">
        <f>R482</f>
        <v>0</v>
      </c>
      <c r="S481" s="126">
        <f>S482</f>
        <v>0</v>
      </c>
    </row>
    <row r="482" spans="1:19" ht="31.5">
      <c r="A482" s="76"/>
      <c r="B482" s="73"/>
      <c r="C482" s="68"/>
      <c r="D482" s="73"/>
      <c r="E482" s="76"/>
      <c r="F482" s="76"/>
      <c r="G482" s="51"/>
      <c r="H482" s="2" t="s">
        <v>1045</v>
      </c>
      <c r="I482" s="9">
        <v>668</v>
      </c>
      <c r="J482" s="11">
        <v>11</v>
      </c>
      <c r="K482" s="11">
        <v>1</v>
      </c>
      <c r="L482" s="57" t="s">
        <v>237</v>
      </c>
      <c r="M482" s="58" t="s">
        <v>220</v>
      </c>
      <c r="N482" s="58" t="s">
        <v>223</v>
      </c>
      <c r="O482" s="58" t="s">
        <v>42</v>
      </c>
      <c r="P482" s="3">
        <v>610</v>
      </c>
      <c r="Q482" s="126">
        <v>1100</v>
      </c>
      <c r="R482" s="126">
        <v>0</v>
      </c>
      <c r="S482" s="126">
        <v>0</v>
      </c>
    </row>
    <row r="483" spans="1:19" ht="18.75">
      <c r="A483" s="76"/>
      <c r="B483" s="73"/>
      <c r="C483" s="68"/>
      <c r="D483" s="73"/>
      <c r="E483" s="76"/>
      <c r="F483" s="76"/>
      <c r="G483" s="51"/>
      <c r="H483" s="2" t="s">
        <v>1046</v>
      </c>
      <c r="I483" s="9">
        <v>668</v>
      </c>
      <c r="J483" s="11">
        <v>11</v>
      </c>
      <c r="K483" s="11">
        <v>1</v>
      </c>
      <c r="L483" s="57" t="s">
        <v>237</v>
      </c>
      <c r="M483" s="58" t="s">
        <v>220</v>
      </c>
      <c r="N483" s="58" t="s">
        <v>223</v>
      </c>
      <c r="O483" s="58" t="s">
        <v>1044</v>
      </c>
      <c r="P483" s="3"/>
      <c r="Q483" s="126">
        <f>Q484</f>
        <v>1543.2</v>
      </c>
      <c r="R483" s="126">
        <f>R484</f>
        <v>660.8000000000001</v>
      </c>
      <c r="S483" s="126">
        <f>S484</f>
        <v>660.8000000000001</v>
      </c>
    </row>
    <row r="484" spans="1:19" ht="18.75">
      <c r="A484" s="76"/>
      <c r="B484" s="73"/>
      <c r="C484" s="68"/>
      <c r="D484" s="73"/>
      <c r="E484" s="76"/>
      <c r="F484" s="76"/>
      <c r="G484" s="51"/>
      <c r="H484" s="2" t="s">
        <v>301</v>
      </c>
      <c r="I484" s="9">
        <v>668</v>
      </c>
      <c r="J484" s="11">
        <v>11</v>
      </c>
      <c r="K484" s="11">
        <v>1</v>
      </c>
      <c r="L484" s="57" t="s">
        <v>237</v>
      </c>
      <c r="M484" s="58" t="s">
        <v>220</v>
      </c>
      <c r="N484" s="58" t="s">
        <v>223</v>
      </c>
      <c r="O484" s="58" t="s">
        <v>1044</v>
      </c>
      <c r="P484" s="3">
        <v>610</v>
      </c>
      <c r="Q484" s="126">
        <f>1388.9+154.3</f>
        <v>1543.2</v>
      </c>
      <c r="R484" s="126">
        <f>600.1+60.7</f>
        <v>660.8000000000001</v>
      </c>
      <c r="S484" s="126">
        <f>600.1+60.7</f>
        <v>660.8000000000001</v>
      </c>
    </row>
    <row r="485" spans="1:19" s="113" customFormat="1" ht="19.5">
      <c r="A485" s="106"/>
      <c r="B485" s="128"/>
      <c r="C485" s="104"/>
      <c r="D485" s="128"/>
      <c r="E485" s="106"/>
      <c r="F485" s="106"/>
      <c r="G485" s="84"/>
      <c r="H485" s="227" t="s">
        <v>964</v>
      </c>
      <c r="I485" s="251">
        <v>668</v>
      </c>
      <c r="J485" s="86">
        <v>12</v>
      </c>
      <c r="K485" s="86" t="s">
        <v>262</v>
      </c>
      <c r="L485" s="87"/>
      <c r="M485" s="88"/>
      <c r="N485" s="88"/>
      <c r="O485" s="88"/>
      <c r="P485" s="93"/>
      <c r="Q485" s="127">
        <f>Q486</f>
        <v>2200</v>
      </c>
      <c r="R485" s="127">
        <f>R486</f>
        <v>2400</v>
      </c>
      <c r="S485" s="127">
        <f>S486</f>
        <v>2400</v>
      </c>
    </row>
    <row r="486" spans="1:19" s="113" customFormat="1" ht="19.5">
      <c r="A486" s="106"/>
      <c r="B486" s="128"/>
      <c r="C486" s="104"/>
      <c r="D486" s="128"/>
      <c r="E486" s="106"/>
      <c r="F486" s="106"/>
      <c r="G486" s="84"/>
      <c r="H486" s="225" t="s">
        <v>965</v>
      </c>
      <c r="I486" s="251">
        <v>668</v>
      </c>
      <c r="J486" s="86">
        <v>12</v>
      </c>
      <c r="K486" s="86">
        <v>2</v>
      </c>
      <c r="L486" s="87"/>
      <c r="M486" s="88"/>
      <c r="N486" s="88"/>
      <c r="O486" s="88"/>
      <c r="P486" s="93"/>
      <c r="Q486" s="127">
        <f>Q491+Q487</f>
        <v>2200</v>
      </c>
      <c r="R486" s="127">
        <f>R491+R487</f>
        <v>2400</v>
      </c>
      <c r="S486" s="127">
        <f>S491+S487</f>
        <v>2400</v>
      </c>
    </row>
    <row r="487" spans="1:19" ht="31.5">
      <c r="A487" s="76"/>
      <c r="B487" s="73"/>
      <c r="C487" s="68"/>
      <c r="D487" s="73"/>
      <c r="E487" s="76"/>
      <c r="F487" s="76"/>
      <c r="G487" s="51"/>
      <c r="H487" s="2" t="s">
        <v>522</v>
      </c>
      <c r="I487" s="9">
        <v>668</v>
      </c>
      <c r="J487" s="11">
        <v>12</v>
      </c>
      <c r="K487" s="11">
        <v>2</v>
      </c>
      <c r="L487" s="57" t="s">
        <v>494</v>
      </c>
      <c r="M487" s="58" t="s">
        <v>220</v>
      </c>
      <c r="N487" s="58" t="s">
        <v>229</v>
      </c>
      <c r="O487" s="58" t="s">
        <v>261</v>
      </c>
      <c r="P487" s="3"/>
      <c r="Q487" s="126">
        <f aca="true" t="shared" si="54" ref="Q487:S489">Q488</f>
        <v>2200</v>
      </c>
      <c r="R487" s="126">
        <f t="shared" si="54"/>
        <v>2400</v>
      </c>
      <c r="S487" s="126">
        <f t="shared" si="54"/>
        <v>2400</v>
      </c>
    </row>
    <row r="488" spans="1:19" ht="18.75">
      <c r="A488" s="76"/>
      <c r="B488" s="73"/>
      <c r="C488" s="68"/>
      <c r="D488" s="73"/>
      <c r="E488" s="76"/>
      <c r="F488" s="76"/>
      <c r="G488" s="51"/>
      <c r="H488" s="2" t="s">
        <v>966</v>
      </c>
      <c r="I488" s="9">
        <v>668</v>
      </c>
      <c r="J488" s="11">
        <v>12</v>
      </c>
      <c r="K488" s="11">
        <v>2</v>
      </c>
      <c r="L488" s="57" t="s">
        <v>494</v>
      </c>
      <c r="M488" s="58" t="s">
        <v>220</v>
      </c>
      <c r="N488" s="58" t="s">
        <v>219</v>
      </c>
      <c r="O488" s="58" t="s">
        <v>261</v>
      </c>
      <c r="P488" s="7"/>
      <c r="Q488" s="124">
        <f t="shared" si="54"/>
        <v>2200</v>
      </c>
      <c r="R488" s="124">
        <f t="shared" si="54"/>
        <v>2400</v>
      </c>
      <c r="S488" s="124">
        <f t="shared" si="54"/>
        <v>2400</v>
      </c>
    </row>
    <row r="489" spans="1:19" ht="18.75">
      <c r="A489" s="76"/>
      <c r="B489" s="73"/>
      <c r="C489" s="68"/>
      <c r="D489" s="73"/>
      <c r="E489" s="76"/>
      <c r="F489" s="76"/>
      <c r="G489" s="51"/>
      <c r="H489" s="2" t="s">
        <v>470</v>
      </c>
      <c r="I489" s="9">
        <v>668</v>
      </c>
      <c r="J489" s="11">
        <v>12</v>
      </c>
      <c r="K489" s="11">
        <v>2</v>
      </c>
      <c r="L489" s="57" t="s">
        <v>494</v>
      </c>
      <c r="M489" s="58" t="s">
        <v>220</v>
      </c>
      <c r="N489" s="58" t="s">
        <v>219</v>
      </c>
      <c r="O489" s="58" t="s">
        <v>503</v>
      </c>
      <c r="P489" s="7"/>
      <c r="Q489" s="124">
        <f t="shared" si="54"/>
        <v>2200</v>
      </c>
      <c r="R489" s="124">
        <f t="shared" si="54"/>
        <v>2400</v>
      </c>
      <c r="S489" s="124">
        <f t="shared" si="54"/>
        <v>2400</v>
      </c>
    </row>
    <row r="490" spans="1:19" ht="31.5">
      <c r="A490" s="76"/>
      <c r="B490" s="73"/>
      <c r="C490" s="68"/>
      <c r="D490" s="73"/>
      <c r="E490" s="76"/>
      <c r="F490" s="76"/>
      <c r="G490" s="51"/>
      <c r="H490" s="2" t="s">
        <v>449</v>
      </c>
      <c r="I490" s="9">
        <v>668</v>
      </c>
      <c r="J490" s="11">
        <v>12</v>
      </c>
      <c r="K490" s="11">
        <v>2</v>
      </c>
      <c r="L490" s="57" t="s">
        <v>494</v>
      </c>
      <c r="M490" s="58" t="s">
        <v>220</v>
      </c>
      <c r="N490" s="58" t="s">
        <v>219</v>
      </c>
      <c r="O490" s="58" t="s">
        <v>503</v>
      </c>
      <c r="P490" s="7">
        <v>630</v>
      </c>
      <c r="Q490" s="124">
        <v>2200</v>
      </c>
      <c r="R490" s="124">
        <v>2400</v>
      </c>
      <c r="S490" s="124">
        <v>2400</v>
      </c>
    </row>
    <row r="491" spans="1:19" ht="31.5" hidden="1">
      <c r="A491" s="59"/>
      <c r="B491" s="60"/>
      <c r="C491" s="68"/>
      <c r="D491" s="73"/>
      <c r="E491" s="76"/>
      <c r="F491" s="76"/>
      <c r="G491" s="51"/>
      <c r="H491" s="2" t="s">
        <v>557</v>
      </c>
      <c r="I491" s="9">
        <v>668</v>
      </c>
      <c r="J491" s="11">
        <v>12</v>
      </c>
      <c r="K491" s="11">
        <v>2</v>
      </c>
      <c r="L491" s="57" t="s">
        <v>502</v>
      </c>
      <c r="M491" s="58" t="s">
        <v>220</v>
      </c>
      <c r="N491" s="58" t="s">
        <v>229</v>
      </c>
      <c r="O491" s="58" t="s">
        <v>261</v>
      </c>
      <c r="P491" s="7"/>
      <c r="Q491" s="124">
        <f aca="true" t="shared" si="55" ref="Q491:S493">Q492</f>
        <v>0</v>
      </c>
      <c r="R491" s="124">
        <f t="shared" si="55"/>
        <v>0</v>
      </c>
      <c r="S491" s="124">
        <f t="shared" si="55"/>
        <v>0</v>
      </c>
    </row>
    <row r="492" spans="1:19" ht="18.75" hidden="1">
      <c r="A492" s="59"/>
      <c r="B492" s="60"/>
      <c r="C492" s="68"/>
      <c r="D492" s="73"/>
      <c r="E492" s="76"/>
      <c r="F492" s="76"/>
      <c r="G492" s="51"/>
      <c r="H492" s="2" t="s">
        <v>966</v>
      </c>
      <c r="I492" s="9">
        <v>668</v>
      </c>
      <c r="J492" s="11">
        <v>12</v>
      </c>
      <c r="K492" s="11">
        <v>2</v>
      </c>
      <c r="L492" s="57" t="s">
        <v>502</v>
      </c>
      <c r="M492" s="58" t="s">
        <v>220</v>
      </c>
      <c r="N492" s="58" t="s">
        <v>232</v>
      </c>
      <c r="O492" s="58" t="s">
        <v>261</v>
      </c>
      <c r="P492" s="7"/>
      <c r="Q492" s="124">
        <f t="shared" si="55"/>
        <v>0</v>
      </c>
      <c r="R492" s="124">
        <f t="shared" si="55"/>
        <v>0</v>
      </c>
      <c r="S492" s="124">
        <f t="shared" si="55"/>
        <v>0</v>
      </c>
    </row>
    <row r="493" spans="1:19" ht="18.75" hidden="1">
      <c r="A493" s="59"/>
      <c r="B493" s="60"/>
      <c r="C493" s="68"/>
      <c r="D493" s="73"/>
      <c r="E493" s="76"/>
      <c r="F493" s="76"/>
      <c r="G493" s="51"/>
      <c r="H493" s="2" t="s">
        <v>470</v>
      </c>
      <c r="I493" s="9">
        <v>668</v>
      </c>
      <c r="J493" s="11">
        <v>12</v>
      </c>
      <c r="K493" s="11">
        <v>2</v>
      </c>
      <c r="L493" s="57" t="s">
        <v>502</v>
      </c>
      <c r="M493" s="58" t="s">
        <v>220</v>
      </c>
      <c r="N493" s="58" t="s">
        <v>232</v>
      </c>
      <c r="O493" s="58" t="s">
        <v>503</v>
      </c>
      <c r="P493" s="7"/>
      <c r="Q493" s="124">
        <f t="shared" si="55"/>
        <v>0</v>
      </c>
      <c r="R493" s="124">
        <f t="shared" si="55"/>
        <v>0</v>
      </c>
      <c r="S493" s="124">
        <f t="shared" si="55"/>
        <v>0</v>
      </c>
    </row>
    <row r="494" spans="1:19" ht="31.5" hidden="1">
      <c r="A494" s="59"/>
      <c r="B494" s="60"/>
      <c r="C494" s="68"/>
      <c r="D494" s="73"/>
      <c r="E494" s="76"/>
      <c r="F494" s="76"/>
      <c r="G494" s="51"/>
      <c r="H494" s="2" t="s">
        <v>449</v>
      </c>
      <c r="I494" s="9">
        <v>668</v>
      </c>
      <c r="J494" s="11">
        <v>12</v>
      </c>
      <c r="K494" s="11">
        <v>2</v>
      </c>
      <c r="L494" s="57" t="s">
        <v>502</v>
      </c>
      <c r="M494" s="58" t="s">
        <v>220</v>
      </c>
      <c r="N494" s="58" t="s">
        <v>232</v>
      </c>
      <c r="O494" s="58" t="s">
        <v>503</v>
      </c>
      <c r="P494" s="7">
        <v>630</v>
      </c>
      <c r="Q494" s="124">
        <f>2200-2200</f>
        <v>0</v>
      </c>
      <c r="R494" s="124">
        <f>2400-2400</f>
        <v>0</v>
      </c>
      <c r="S494" s="124">
        <f>2400-2400</f>
        <v>0</v>
      </c>
    </row>
    <row r="495" spans="1:19" s="111" customFormat="1" ht="16.5">
      <c r="A495" s="105"/>
      <c r="B495" s="114"/>
      <c r="C495" s="313"/>
      <c r="D495" s="324"/>
      <c r="E495" s="325"/>
      <c r="F495" s="325"/>
      <c r="G495" s="116"/>
      <c r="H495" s="320" t="s">
        <v>488</v>
      </c>
      <c r="I495" s="328">
        <v>669</v>
      </c>
      <c r="J495" s="10"/>
      <c r="K495" s="10"/>
      <c r="L495" s="81"/>
      <c r="M495" s="82"/>
      <c r="N495" s="82"/>
      <c r="O495" s="82"/>
      <c r="P495" s="311"/>
      <c r="Q495" s="316">
        <f>Q496+Q514+Q521+Q529+Q555+Q649</f>
        <v>190428.3</v>
      </c>
      <c r="R495" s="316">
        <f>R496+R514+R521+R535+R555+R649</f>
        <v>39732.7</v>
      </c>
      <c r="S495" s="316">
        <f>S496+S514+S521+S535+S555+S649</f>
        <v>34177.5</v>
      </c>
    </row>
    <row r="496" spans="1:19" s="113" customFormat="1" ht="19.5">
      <c r="A496" s="106"/>
      <c r="B496" s="128"/>
      <c r="C496" s="104"/>
      <c r="D496" s="128"/>
      <c r="E496" s="106"/>
      <c r="F496" s="106"/>
      <c r="G496" s="84"/>
      <c r="H496" s="227" t="s">
        <v>235</v>
      </c>
      <c r="I496" s="251">
        <v>669</v>
      </c>
      <c r="J496" s="86">
        <v>1</v>
      </c>
      <c r="K496" s="86" t="s">
        <v>262</v>
      </c>
      <c r="L496" s="87"/>
      <c r="M496" s="88"/>
      <c r="N496" s="88"/>
      <c r="O496" s="88"/>
      <c r="P496" s="93"/>
      <c r="Q496" s="127">
        <f>Q497+Q506</f>
        <v>6212.4</v>
      </c>
      <c r="R496" s="127">
        <f>R497+R506</f>
        <v>5111.7</v>
      </c>
      <c r="S496" s="127">
        <f>S497+S506</f>
        <v>5111.7</v>
      </c>
    </row>
    <row r="497" spans="1:19" s="113" customFormat="1" ht="31.5">
      <c r="A497" s="106"/>
      <c r="B497" s="128"/>
      <c r="C497" s="104"/>
      <c r="D497" s="128"/>
      <c r="E497" s="106"/>
      <c r="F497" s="106"/>
      <c r="G497" s="84"/>
      <c r="H497" s="225" t="s">
        <v>238</v>
      </c>
      <c r="I497" s="251">
        <v>669</v>
      </c>
      <c r="J497" s="86">
        <v>1</v>
      </c>
      <c r="K497" s="86">
        <v>4</v>
      </c>
      <c r="L497" s="87"/>
      <c r="M497" s="88"/>
      <c r="N497" s="88"/>
      <c r="O497" s="88"/>
      <c r="P497" s="93"/>
      <c r="Q497" s="127">
        <f aca="true" t="shared" si="56" ref="Q497:S498">Q498</f>
        <v>4747.4</v>
      </c>
      <c r="R497" s="127">
        <f t="shared" si="56"/>
        <v>5111.7</v>
      </c>
      <c r="S497" s="127">
        <f t="shared" si="56"/>
        <v>5111.7</v>
      </c>
    </row>
    <row r="498" spans="1:19" ht="31.5">
      <c r="A498" s="72"/>
      <c r="B498" s="73"/>
      <c r="C498" s="68"/>
      <c r="D498" s="69"/>
      <c r="E498" s="66"/>
      <c r="F498" s="66"/>
      <c r="G498" s="51"/>
      <c r="H498" s="2" t="s">
        <v>522</v>
      </c>
      <c r="I498" s="9">
        <v>669</v>
      </c>
      <c r="J498" s="11">
        <v>1</v>
      </c>
      <c r="K498" s="11">
        <v>4</v>
      </c>
      <c r="L498" s="57" t="s">
        <v>494</v>
      </c>
      <c r="M498" s="58" t="s">
        <v>220</v>
      </c>
      <c r="N498" s="58" t="s">
        <v>229</v>
      </c>
      <c r="O498" s="58" t="s">
        <v>261</v>
      </c>
      <c r="P498" s="3"/>
      <c r="Q498" s="126">
        <f t="shared" si="56"/>
        <v>4747.4</v>
      </c>
      <c r="R498" s="126">
        <f t="shared" si="56"/>
        <v>5111.7</v>
      </c>
      <c r="S498" s="126">
        <f t="shared" si="56"/>
        <v>5111.7</v>
      </c>
    </row>
    <row r="499" spans="1:19" ht="31.5">
      <c r="A499" s="72"/>
      <c r="B499" s="73"/>
      <c r="C499" s="68"/>
      <c r="D499" s="69"/>
      <c r="E499" s="66"/>
      <c r="F499" s="66"/>
      <c r="G499" s="51"/>
      <c r="H499" s="2" t="s">
        <v>894</v>
      </c>
      <c r="I499" s="9">
        <v>669</v>
      </c>
      <c r="J499" s="11">
        <v>1</v>
      </c>
      <c r="K499" s="11">
        <v>4</v>
      </c>
      <c r="L499" s="57" t="s">
        <v>494</v>
      </c>
      <c r="M499" s="58" t="s">
        <v>220</v>
      </c>
      <c r="N499" s="58" t="s">
        <v>236</v>
      </c>
      <c r="O499" s="58" t="s">
        <v>261</v>
      </c>
      <c r="P499" s="3"/>
      <c r="Q499" s="126">
        <f>Q500+Q504</f>
        <v>4747.4</v>
      </c>
      <c r="R499" s="126">
        <f>R500+R504</f>
        <v>5111.7</v>
      </c>
      <c r="S499" s="126">
        <f>S500+S504</f>
        <v>5111.7</v>
      </c>
    </row>
    <row r="500" spans="1:19" ht="18.75">
      <c r="A500" s="72"/>
      <c r="B500" s="73"/>
      <c r="C500" s="68"/>
      <c r="D500" s="69"/>
      <c r="E500" s="66"/>
      <c r="F500" s="66"/>
      <c r="G500" s="51"/>
      <c r="H500" s="2" t="s">
        <v>60</v>
      </c>
      <c r="I500" s="9">
        <v>669</v>
      </c>
      <c r="J500" s="11">
        <v>1</v>
      </c>
      <c r="K500" s="11">
        <v>4</v>
      </c>
      <c r="L500" s="57" t="s">
        <v>494</v>
      </c>
      <c r="M500" s="58" t="s">
        <v>220</v>
      </c>
      <c r="N500" s="58" t="s">
        <v>236</v>
      </c>
      <c r="O500" s="58" t="s">
        <v>264</v>
      </c>
      <c r="P500" s="3"/>
      <c r="Q500" s="126">
        <f>Q501+Q502+Q503</f>
        <v>2771.8999999999996</v>
      </c>
      <c r="R500" s="126">
        <f>R501+R502+R503</f>
        <v>3136.2</v>
      </c>
      <c r="S500" s="126">
        <f>S501+S502+S503</f>
        <v>3136.2</v>
      </c>
    </row>
    <row r="501" spans="1:19" ht="18.75">
      <c r="A501" s="72"/>
      <c r="B501" s="74"/>
      <c r="C501" s="68"/>
      <c r="D501" s="71"/>
      <c r="E501" s="66"/>
      <c r="F501" s="66"/>
      <c r="G501" s="51"/>
      <c r="H501" s="2" t="s">
        <v>204</v>
      </c>
      <c r="I501" s="9">
        <v>669</v>
      </c>
      <c r="J501" s="11">
        <v>1</v>
      </c>
      <c r="K501" s="11">
        <v>4</v>
      </c>
      <c r="L501" s="57" t="s">
        <v>494</v>
      </c>
      <c r="M501" s="58" t="s">
        <v>220</v>
      </c>
      <c r="N501" s="58" t="s">
        <v>236</v>
      </c>
      <c r="O501" s="58" t="s">
        <v>264</v>
      </c>
      <c r="P501" s="3">
        <v>120</v>
      </c>
      <c r="Q501" s="126">
        <f>2776.2-80-170+201-244-420.3</f>
        <v>2062.8999999999996</v>
      </c>
      <c r="R501" s="126">
        <v>2926.2</v>
      </c>
      <c r="S501" s="126">
        <v>2926.2</v>
      </c>
    </row>
    <row r="502" spans="1:19" ht="18.75">
      <c r="A502" s="72"/>
      <c r="B502" s="74"/>
      <c r="C502" s="68"/>
      <c r="D502" s="71"/>
      <c r="E502" s="66"/>
      <c r="F502" s="66"/>
      <c r="G502" s="51"/>
      <c r="H502" s="2" t="s">
        <v>299</v>
      </c>
      <c r="I502" s="9">
        <v>669</v>
      </c>
      <c r="J502" s="11">
        <v>1</v>
      </c>
      <c r="K502" s="11">
        <v>4</v>
      </c>
      <c r="L502" s="57" t="s">
        <v>494</v>
      </c>
      <c r="M502" s="58" t="s">
        <v>220</v>
      </c>
      <c r="N502" s="58" t="s">
        <v>236</v>
      </c>
      <c r="O502" s="58" t="s">
        <v>264</v>
      </c>
      <c r="P502" s="7">
        <v>240</v>
      </c>
      <c r="Q502" s="124">
        <v>285</v>
      </c>
      <c r="R502" s="124">
        <f>285-70-15</f>
        <v>200</v>
      </c>
      <c r="S502" s="124">
        <f>230-30</f>
        <v>200</v>
      </c>
    </row>
    <row r="503" spans="1:19" ht="18.75">
      <c r="A503" s="72"/>
      <c r="B503" s="74"/>
      <c r="C503" s="68"/>
      <c r="D503" s="71"/>
      <c r="E503" s="66"/>
      <c r="F503" s="66"/>
      <c r="G503" s="51"/>
      <c r="H503" s="2" t="s">
        <v>300</v>
      </c>
      <c r="I503" s="9">
        <v>669</v>
      </c>
      <c r="J503" s="11">
        <v>1</v>
      </c>
      <c r="K503" s="11">
        <v>4</v>
      </c>
      <c r="L503" s="57" t="s">
        <v>494</v>
      </c>
      <c r="M503" s="58" t="s">
        <v>220</v>
      </c>
      <c r="N503" s="58" t="s">
        <v>236</v>
      </c>
      <c r="O503" s="58" t="s">
        <v>264</v>
      </c>
      <c r="P503" s="7">
        <v>850</v>
      </c>
      <c r="Q503" s="124">
        <f>10+170+244</f>
        <v>424</v>
      </c>
      <c r="R503" s="124">
        <v>10</v>
      </c>
      <c r="S503" s="124">
        <v>10</v>
      </c>
    </row>
    <row r="504" spans="1:19" ht="31.5">
      <c r="A504" s="72"/>
      <c r="B504" s="74"/>
      <c r="C504" s="68"/>
      <c r="D504" s="71"/>
      <c r="E504" s="66"/>
      <c r="F504" s="66"/>
      <c r="G504" s="51"/>
      <c r="H504" s="108" t="s">
        <v>374</v>
      </c>
      <c r="I504" s="9">
        <v>669</v>
      </c>
      <c r="J504" s="11">
        <v>1</v>
      </c>
      <c r="K504" s="11">
        <v>4</v>
      </c>
      <c r="L504" s="57" t="s">
        <v>494</v>
      </c>
      <c r="M504" s="58" t="s">
        <v>220</v>
      </c>
      <c r="N504" s="58" t="s">
        <v>236</v>
      </c>
      <c r="O504" s="58" t="s">
        <v>373</v>
      </c>
      <c r="P504" s="7"/>
      <c r="Q504" s="124">
        <f>Q505</f>
        <v>1975.5</v>
      </c>
      <c r="R504" s="124">
        <f>R505</f>
        <v>1975.5</v>
      </c>
      <c r="S504" s="124">
        <f>S505</f>
        <v>1975.5</v>
      </c>
    </row>
    <row r="505" spans="1:19" ht="18.75">
      <c r="A505" s="59"/>
      <c r="B505" s="60"/>
      <c r="C505" s="68"/>
      <c r="D505" s="73"/>
      <c r="E505" s="76"/>
      <c r="F505" s="76"/>
      <c r="G505" s="51"/>
      <c r="H505" s="2" t="s">
        <v>204</v>
      </c>
      <c r="I505" s="9">
        <v>669</v>
      </c>
      <c r="J505" s="11">
        <v>1</v>
      </c>
      <c r="K505" s="11">
        <v>4</v>
      </c>
      <c r="L505" s="57" t="s">
        <v>494</v>
      </c>
      <c r="M505" s="58" t="s">
        <v>220</v>
      </c>
      <c r="N505" s="58" t="s">
        <v>236</v>
      </c>
      <c r="O505" s="58" t="s">
        <v>373</v>
      </c>
      <c r="P505" s="7">
        <v>120</v>
      </c>
      <c r="Q505" s="124">
        <v>1975.5</v>
      </c>
      <c r="R505" s="124">
        <v>1975.5</v>
      </c>
      <c r="S505" s="124">
        <v>1975.5</v>
      </c>
    </row>
    <row r="506" spans="1:19" ht="18.75">
      <c r="A506" s="59"/>
      <c r="B506" s="60"/>
      <c r="C506" s="68"/>
      <c r="D506" s="73"/>
      <c r="E506" s="76"/>
      <c r="F506" s="76"/>
      <c r="G506" s="51"/>
      <c r="H506" s="96" t="s">
        <v>206</v>
      </c>
      <c r="I506" s="251">
        <v>669</v>
      </c>
      <c r="J506" s="86">
        <v>1</v>
      </c>
      <c r="K506" s="86">
        <v>13</v>
      </c>
      <c r="L506" s="57"/>
      <c r="M506" s="58"/>
      <c r="N506" s="58"/>
      <c r="O506" s="58"/>
      <c r="P506" s="7"/>
      <c r="Q506" s="124">
        <f aca="true" t="shared" si="57" ref="Q506:S507">Q507</f>
        <v>1465</v>
      </c>
      <c r="R506" s="124">
        <f t="shared" si="57"/>
        <v>0</v>
      </c>
      <c r="S506" s="124">
        <f t="shared" si="57"/>
        <v>0</v>
      </c>
    </row>
    <row r="507" spans="1:19" ht="31.5">
      <c r="A507" s="59"/>
      <c r="B507" s="60"/>
      <c r="C507" s="68"/>
      <c r="D507" s="73"/>
      <c r="E507" s="76"/>
      <c r="F507" s="76"/>
      <c r="G507" s="51"/>
      <c r="H507" s="2" t="s">
        <v>522</v>
      </c>
      <c r="I507" s="9">
        <v>669</v>
      </c>
      <c r="J507" s="11">
        <v>1</v>
      </c>
      <c r="K507" s="11">
        <v>13</v>
      </c>
      <c r="L507" s="57" t="s">
        <v>494</v>
      </c>
      <c r="M507" s="58" t="s">
        <v>220</v>
      </c>
      <c r="N507" s="58" t="s">
        <v>229</v>
      </c>
      <c r="O507" s="58" t="s">
        <v>261</v>
      </c>
      <c r="P507" s="7"/>
      <c r="Q507" s="124">
        <f t="shared" si="57"/>
        <v>1465</v>
      </c>
      <c r="R507" s="124">
        <f t="shared" si="57"/>
        <v>0</v>
      </c>
      <c r="S507" s="124">
        <f t="shared" si="57"/>
        <v>0</v>
      </c>
    </row>
    <row r="508" spans="1:19" ht="31.5">
      <c r="A508" s="59"/>
      <c r="B508" s="60"/>
      <c r="C508" s="68"/>
      <c r="D508" s="73"/>
      <c r="E508" s="76"/>
      <c r="F508" s="76"/>
      <c r="G508" s="51"/>
      <c r="H508" s="2" t="s">
        <v>894</v>
      </c>
      <c r="I508" s="9">
        <v>669</v>
      </c>
      <c r="J508" s="11">
        <v>1</v>
      </c>
      <c r="K508" s="11">
        <v>13</v>
      </c>
      <c r="L508" s="57" t="s">
        <v>494</v>
      </c>
      <c r="M508" s="58" t="s">
        <v>220</v>
      </c>
      <c r="N508" s="58" t="s">
        <v>236</v>
      </c>
      <c r="O508" s="58" t="s">
        <v>511</v>
      </c>
      <c r="P508" s="7"/>
      <c r="Q508" s="124">
        <f>Q509+Q512</f>
        <v>1465</v>
      </c>
      <c r="R508" s="124">
        <f>R509+R512</f>
        <v>0</v>
      </c>
      <c r="S508" s="124">
        <f>S509+S512</f>
        <v>0</v>
      </c>
    </row>
    <row r="509" spans="1:19" ht="18.75">
      <c r="A509" s="59"/>
      <c r="B509" s="60"/>
      <c r="C509" s="68"/>
      <c r="D509" s="73"/>
      <c r="E509" s="76"/>
      <c r="F509" s="76"/>
      <c r="G509" s="51"/>
      <c r="H509" s="2" t="s">
        <v>60</v>
      </c>
      <c r="I509" s="9">
        <v>669</v>
      </c>
      <c r="J509" s="11">
        <v>1</v>
      </c>
      <c r="K509" s="11">
        <v>13</v>
      </c>
      <c r="L509" s="57" t="s">
        <v>494</v>
      </c>
      <c r="M509" s="58" t="s">
        <v>220</v>
      </c>
      <c r="N509" s="58" t="s">
        <v>236</v>
      </c>
      <c r="O509" s="58" t="s">
        <v>264</v>
      </c>
      <c r="P509" s="7"/>
      <c r="Q509" s="124">
        <f>Q511+Q510</f>
        <v>115</v>
      </c>
      <c r="R509" s="124">
        <f>R511+R510</f>
        <v>0</v>
      </c>
      <c r="S509" s="124">
        <f>S511+S510</f>
        <v>0</v>
      </c>
    </row>
    <row r="510" spans="1:19" ht="18.75">
      <c r="A510" s="59"/>
      <c r="B510" s="60"/>
      <c r="C510" s="68"/>
      <c r="D510" s="73"/>
      <c r="E510" s="76"/>
      <c r="F510" s="76"/>
      <c r="G510" s="51"/>
      <c r="H510" s="2" t="s">
        <v>299</v>
      </c>
      <c r="I510" s="9">
        <v>669</v>
      </c>
      <c r="J510" s="11">
        <v>1</v>
      </c>
      <c r="K510" s="11">
        <v>13</v>
      </c>
      <c r="L510" s="57" t="s">
        <v>494</v>
      </c>
      <c r="M510" s="58" t="s">
        <v>220</v>
      </c>
      <c r="N510" s="58" t="s">
        <v>236</v>
      </c>
      <c r="O510" s="58" t="s">
        <v>264</v>
      </c>
      <c r="P510" s="7">
        <v>240</v>
      </c>
      <c r="Q510" s="124">
        <v>100</v>
      </c>
      <c r="R510" s="124">
        <v>0</v>
      </c>
      <c r="S510" s="124">
        <v>0</v>
      </c>
    </row>
    <row r="511" spans="1:19" ht="18.75">
      <c r="A511" s="59"/>
      <c r="B511" s="60"/>
      <c r="C511" s="68"/>
      <c r="D511" s="73"/>
      <c r="E511" s="76"/>
      <c r="F511" s="76"/>
      <c r="G511" s="51"/>
      <c r="H511" s="2" t="s">
        <v>300</v>
      </c>
      <c r="I511" s="9">
        <v>669</v>
      </c>
      <c r="J511" s="11">
        <v>1</v>
      </c>
      <c r="K511" s="11">
        <v>13</v>
      </c>
      <c r="L511" s="57" t="s">
        <v>494</v>
      </c>
      <c r="M511" s="58" t="s">
        <v>220</v>
      </c>
      <c r="N511" s="58" t="s">
        <v>236</v>
      </c>
      <c r="O511" s="58" t="s">
        <v>264</v>
      </c>
      <c r="P511" s="7">
        <v>850</v>
      </c>
      <c r="Q511" s="124">
        <v>15</v>
      </c>
      <c r="R511" s="124">
        <v>0</v>
      </c>
      <c r="S511" s="124">
        <v>0</v>
      </c>
    </row>
    <row r="512" spans="1:19" ht="18.75">
      <c r="A512" s="59"/>
      <c r="B512" s="60"/>
      <c r="C512" s="68"/>
      <c r="D512" s="73"/>
      <c r="E512" s="76"/>
      <c r="F512" s="76"/>
      <c r="G512" s="51"/>
      <c r="H512" s="303" t="s">
        <v>462</v>
      </c>
      <c r="I512" s="9">
        <v>669</v>
      </c>
      <c r="J512" s="11">
        <v>1</v>
      </c>
      <c r="K512" s="11">
        <v>13</v>
      </c>
      <c r="L512" s="57" t="s">
        <v>494</v>
      </c>
      <c r="M512" s="58" t="s">
        <v>220</v>
      </c>
      <c r="N512" s="58" t="s">
        <v>236</v>
      </c>
      <c r="O512" s="58" t="s">
        <v>926</v>
      </c>
      <c r="P512" s="7"/>
      <c r="Q512" s="124">
        <f>Q513</f>
        <v>1350</v>
      </c>
      <c r="R512" s="124">
        <f>R513</f>
        <v>0</v>
      </c>
      <c r="S512" s="124">
        <f>S513</f>
        <v>0</v>
      </c>
    </row>
    <row r="513" spans="1:19" ht="18.75">
      <c r="A513" s="59"/>
      <c r="B513" s="60"/>
      <c r="C513" s="68"/>
      <c r="D513" s="73"/>
      <c r="E513" s="76"/>
      <c r="F513" s="76"/>
      <c r="G513" s="51"/>
      <c r="H513" s="2" t="s">
        <v>299</v>
      </c>
      <c r="I513" s="9">
        <v>669</v>
      </c>
      <c r="J513" s="11">
        <v>1</v>
      </c>
      <c r="K513" s="11">
        <v>13</v>
      </c>
      <c r="L513" s="57" t="s">
        <v>494</v>
      </c>
      <c r="M513" s="58" t="s">
        <v>220</v>
      </c>
      <c r="N513" s="58" t="s">
        <v>236</v>
      </c>
      <c r="O513" s="58" t="s">
        <v>926</v>
      </c>
      <c r="P513" s="7">
        <v>240</v>
      </c>
      <c r="Q513" s="124">
        <f>140+760+450</f>
        <v>1350</v>
      </c>
      <c r="R513" s="124">
        <v>0</v>
      </c>
      <c r="S513" s="124">
        <v>0</v>
      </c>
    </row>
    <row r="514" spans="1:19" s="113" customFormat="1" ht="19.5">
      <c r="A514" s="89"/>
      <c r="B514" s="90"/>
      <c r="C514" s="104"/>
      <c r="D514" s="128"/>
      <c r="E514" s="106"/>
      <c r="F514" s="106"/>
      <c r="G514" s="84"/>
      <c r="H514" s="353" t="s">
        <v>563</v>
      </c>
      <c r="I514" s="251">
        <v>669</v>
      </c>
      <c r="J514" s="86">
        <v>2</v>
      </c>
      <c r="K514" s="86"/>
      <c r="L514" s="87"/>
      <c r="M514" s="88"/>
      <c r="N514" s="88"/>
      <c r="O514" s="88"/>
      <c r="P514" s="85"/>
      <c r="Q514" s="123">
        <f>Q515</f>
        <v>600.4000000000001</v>
      </c>
      <c r="R514" s="123">
        <f aca="true" t="shared" si="58" ref="R514:S517">R515</f>
        <v>660</v>
      </c>
      <c r="S514" s="123">
        <f t="shared" si="58"/>
        <v>720.6</v>
      </c>
    </row>
    <row r="515" spans="1:19" s="113" customFormat="1" ht="19.5">
      <c r="A515" s="89"/>
      <c r="B515" s="90"/>
      <c r="C515" s="104"/>
      <c r="D515" s="128"/>
      <c r="E515" s="106"/>
      <c r="F515" s="106"/>
      <c r="G515" s="84"/>
      <c r="H515" s="96" t="s">
        <v>564</v>
      </c>
      <c r="I515" s="251">
        <v>669</v>
      </c>
      <c r="J515" s="86">
        <v>2</v>
      </c>
      <c r="K515" s="86">
        <v>3</v>
      </c>
      <c r="L515" s="87"/>
      <c r="M515" s="88"/>
      <c r="N515" s="88"/>
      <c r="O515" s="88"/>
      <c r="P515" s="85"/>
      <c r="Q515" s="123">
        <f>Q516</f>
        <v>600.4000000000001</v>
      </c>
      <c r="R515" s="123">
        <f t="shared" si="58"/>
        <v>660</v>
      </c>
      <c r="S515" s="123">
        <f t="shared" si="58"/>
        <v>720.6</v>
      </c>
    </row>
    <row r="516" spans="1:19" ht="31.5">
      <c r="A516" s="59"/>
      <c r="B516" s="60"/>
      <c r="C516" s="68"/>
      <c r="D516" s="73"/>
      <c r="E516" s="76"/>
      <c r="F516" s="76"/>
      <c r="G516" s="51"/>
      <c r="H516" s="2" t="s">
        <v>522</v>
      </c>
      <c r="I516" s="9">
        <v>669</v>
      </c>
      <c r="J516" s="11">
        <v>2</v>
      </c>
      <c r="K516" s="11">
        <v>3</v>
      </c>
      <c r="L516" s="57" t="s">
        <v>494</v>
      </c>
      <c r="M516" s="58" t="s">
        <v>220</v>
      </c>
      <c r="N516" s="58" t="s">
        <v>229</v>
      </c>
      <c r="O516" s="58" t="s">
        <v>261</v>
      </c>
      <c r="P516" s="7"/>
      <c r="Q516" s="124">
        <f>Q517</f>
        <v>600.4000000000001</v>
      </c>
      <c r="R516" s="124">
        <f t="shared" si="58"/>
        <v>660</v>
      </c>
      <c r="S516" s="124">
        <f t="shared" si="58"/>
        <v>720.6</v>
      </c>
    </row>
    <row r="517" spans="1:19" ht="31.5">
      <c r="A517" s="59"/>
      <c r="B517" s="60"/>
      <c r="C517" s="68"/>
      <c r="D517" s="73"/>
      <c r="E517" s="76"/>
      <c r="F517" s="76"/>
      <c r="G517" s="51"/>
      <c r="H517" s="2" t="s">
        <v>899</v>
      </c>
      <c r="I517" s="9">
        <v>669</v>
      </c>
      <c r="J517" s="11">
        <v>2</v>
      </c>
      <c r="K517" s="11">
        <v>3</v>
      </c>
      <c r="L517" s="57" t="s">
        <v>494</v>
      </c>
      <c r="M517" s="58" t="s">
        <v>220</v>
      </c>
      <c r="N517" s="58" t="s">
        <v>236</v>
      </c>
      <c r="O517" s="58" t="s">
        <v>261</v>
      </c>
      <c r="P517" s="7"/>
      <c r="Q517" s="124">
        <f>Q518</f>
        <v>600.4000000000001</v>
      </c>
      <c r="R517" s="124">
        <f t="shared" si="58"/>
        <v>660</v>
      </c>
      <c r="S517" s="124">
        <f t="shared" si="58"/>
        <v>720.6</v>
      </c>
    </row>
    <row r="518" spans="1:19" ht="31.5">
      <c r="A518" s="59"/>
      <c r="B518" s="60"/>
      <c r="C518" s="76"/>
      <c r="D518" s="73"/>
      <c r="E518" s="76"/>
      <c r="F518" s="76"/>
      <c r="G518" s="51"/>
      <c r="H518" s="2" t="s">
        <v>560</v>
      </c>
      <c r="I518" s="9">
        <v>669</v>
      </c>
      <c r="J518" s="11">
        <v>2</v>
      </c>
      <c r="K518" s="11">
        <v>3</v>
      </c>
      <c r="L518" s="57" t="s">
        <v>494</v>
      </c>
      <c r="M518" s="58" t="s">
        <v>220</v>
      </c>
      <c r="N518" s="58" t="s">
        <v>236</v>
      </c>
      <c r="O518" s="58" t="s">
        <v>504</v>
      </c>
      <c r="P518" s="7"/>
      <c r="Q518" s="124">
        <f>Q519+Q520</f>
        <v>600.4000000000001</v>
      </c>
      <c r="R518" s="124">
        <f>R519+R520</f>
        <v>660</v>
      </c>
      <c r="S518" s="124">
        <f>S519+S520</f>
        <v>720.6</v>
      </c>
    </row>
    <row r="519" spans="1:19" ht="18.75">
      <c r="A519" s="61"/>
      <c r="B519" s="60"/>
      <c r="C519" s="59"/>
      <c r="D519" s="461">
        <v>5220000</v>
      </c>
      <c r="E519" s="462"/>
      <c r="F519" s="462"/>
      <c r="G519" s="51">
        <v>622</v>
      </c>
      <c r="H519" s="2" t="s">
        <v>204</v>
      </c>
      <c r="I519" s="9">
        <v>669</v>
      </c>
      <c r="J519" s="11">
        <v>2</v>
      </c>
      <c r="K519" s="11">
        <v>3</v>
      </c>
      <c r="L519" s="57" t="s">
        <v>494</v>
      </c>
      <c r="M519" s="58" t="s">
        <v>220</v>
      </c>
      <c r="N519" s="58" t="s">
        <v>236</v>
      </c>
      <c r="O519" s="58" t="s">
        <v>504</v>
      </c>
      <c r="P519" s="7">
        <v>120</v>
      </c>
      <c r="Q519" s="124">
        <v>443.6</v>
      </c>
      <c r="R519" s="124">
        <v>443.6</v>
      </c>
      <c r="S519" s="124">
        <v>443.6</v>
      </c>
    </row>
    <row r="520" spans="1:19" ht="18.75">
      <c r="A520" s="61"/>
      <c r="B520" s="60"/>
      <c r="C520" s="59"/>
      <c r="D520" s="63"/>
      <c r="E520" s="62"/>
      <c r="F520" s="62"/>
      <c r="G520" s="51"/>
      <c r="H520" s="2" t="s">
        <v>299</v>
      </c>
      <c r="I520" s="5">
        <v>669</v>
      </c>
      <c r="J520" s="13">
        <v>2</v>
      </c>
      <c r="K520" s="11">
        <v>3</v>
      </c>
      <c r="L520" s="57" t="s">
        <v>494</v>
      </c>
      <c r="M520" s="58" t="s">
        <v>220</v>
      </c>
      <c r="N520" s="58" t="s">
        <v>236</v>
      </c>
      <c r="O520" s="58" t="s">
        <v>504</v>
      </c>
      <c r="P520" s="7">
        <v>240</v>
      </c>
      <c r="Q520" s="124">
        <v>156.8</v>
      </c>
      <c r="R520" s="124">
        <v>216.4</v>
      </c>
      <c r="S520" s="124">
        <v>277</v>
      </c>
    </row>
    <row r="521" spans="1:19" s="221" customFormat="1" ht="18.75">
      <c r="A521" s="61"/>
      <c r="B521" s="226"/>
      <c r="C521" s="61"/>
      <c r="D521" s="307"/>
      <c r="E521" s="308"/>
      <c r="F521" s="308"/>
      <c r="G521" s="220"/>
      <c r="H521" s="80" t="s">
        <v>256</v>
      </c>
      <c r="I521" s="253">
        <v>669</v>
      </c>
      <c r="J521" s="274">
        <v>3</v>
      </c>
      <c r="K521" s="53"/>
      <c r="L521" s="54"/>
      <c r="M521" s="55"/>
      <c r="N521" s="55"/>
      <c r="O521" s="55"/>
      <c r="P521" s="6"/>
      <c r="Q521" s="248">
        <f aca="true" t="shared" si="59" ref="Q521:S525">Q522</f>
        <v>550</v>
      </c>
      <c r="R521" s="248">
        <f t="shared" si="59"/>
        <v>550</v>
      </c>
      <c r="S521" s="248">
        <f t="shared" si="59"/>
        <v>550</v>
      </c>
    </row>
    <row r="522" spans="1:19" s="113" customFormat="1" ht="31.5">
      <c r="A522" s="89"/>
      <c r="B522" s="90"/>
      <c r="C522" s="89"/>
      <c r="D522" s="107"/>
      <c r="E522" s="300"/>
      <c r="F522" s="300"/>
      <c r="G522" s="84"/>
      <c r="H522" s="96" t="s">
        <v>888</v>
      </c>
      <c r="I522" s="99">
        <v>669</v>
      </c>
      <c r="J522" s="103">
        <v>3</v>
      </c>
      <c r="K522" s="86">
        <v>10</v>
      </c>
      <c r="L522" s="87"/>
      <c r="M522" s="88"/>
      <c r="N522" s="88"/>
      <c r="O522" s="88"/>
      <c r="P522" s="93"/>
      <c r="Q522" s="127">
        <f t="shared" si="59"/>
        <v>550</v>
      </c>
      <c r="R522" s="127">
        <f t="shared" si="59"/>
        <v>550</v>
      </c>
      <c r="S522" s="127">
        <f t="shared" si="59"/>
        <v>550</v>
      </c>
    </row>
    <row r="523" spans="1:19" ht="31.5">
      <c r="A523" s="61"/>
      <c r="B523" s="60"/>
      <c r="C523" s="59"/>
      <c r="D523" s="69"/>
      <c r="E523" s="62"/>
      <c r="F523" s="62"/>
      <c r="G523" s="51"/>
      <c r="H523" s="2" t="s">
        <v>526</v>
      </c>
      <c r="I523" s="5">
        <v>669</v>
      </c>
      <c r="J523" s="15">
        <v>3</v>
      </c>
      <c r="K523" s="11">
        <v>10</v>
      </c>
      <c r="L523" s="57" t="s">
        <v>215</v>
      </c>
      <c r="M523" s="58" t="s">
        <v>220</v>
      </c>
      <c r="N523" s="58" t="s">
        <v>229</v>
      </c>
      <c r="O523" s="58" t="s">
        <v>261</v>
      </c>
      <c r="P523" s="3"/>
      <c r="Q523" s="126">
        <f t="shared" si="59"/>
        <v>550</v>
      </c>
      <c r="R523" s="126">
        <f t="shared" si="59"/>
        <v>550</v>
      </c>
      <c r="S523" s="126">
        <f t="shared" si="59"/>
        <v>550</v>
      </c>
    </row>
    <row r="524" spans="1:19" ht="31.5">
      <c r="A524" s="61"/>
      <c r="B524" s="60"/>
      <c r="C524" s="59"/>
      <c r="D524" s="69"/>
      <c r="E524" s="62"/>
      <c r="F524" s="62"/>
      <c r="G524" s="51"/>
      <c r="H524" s="2" t="s">
        <v>1006</v>
      </c>
      <c r="I524" s="5">
        <v>669</v>
      </c>
      <c r="J524" s="15">
        <v>3</v>
      </c>
      <c r="K524" s="11">
        <v>10</v>
      </c>
      <c r="L524" s="57" t="s">
        <v>889</v>
      </c>
      <c r="M524" s="58" t="s">
        <v>217</v>
      </c>
      <c r="N524" s="58" t="s">
        <v>229</v>
      </c>
      <c r="O524" s="58" t="s">
        <v>261</v>
      </c>
      <c r="P524" s="3"/>
      <c r="Q524" s="126">
        <f t="shared" si="59"/>
        <v>550</v>
      </c>
      <c r="R524" s="126">
        <f t="shared" si="59"/>
        <v>550</v>
      </c>
      <c r="S524" s="126">
        <f t="shared" si="59"/>
        <v>550</v>
      </c>
    </row>
    <row r="525" spans="1:19" ht="31.5">
      <c r="A525" s="61"/>
      <c r="B525" s="60"/>
      <c r="C525" s="59"/>
      <c r="D525" s="69"/>
      <c r="E525" s="62"/>
      <c r="F525" s="62"/>
      <c r="G525" s="51"/>
      <c r="H525" s="2" t="s">
        <v>881</v>
      </c>
      <c r="I525" s="5">
        <v>669</v>
      </c>
      <c r="J525" s="15">
        <v>3</v>
      </c>
      <c r="K525" s="11">
        <v>10</v>
      </c>
      <c r="L525" s="57" t="s">
        <v>215</v>
      </c>
      <c r="M525" s="58" t="s">
        <v>217</v>
      </c>
      <c r="N525" s="58" t="s">
        <v>236</v>
      </c>
      <c r="O525" s="58" t="s">
        <v>511</v>
      </c>
      <c r="P525" s="3"/>
      <c r="Q525" s="126">
        <f t="shared" si="59"/>
        <v>550</v>
      </c>
      <c r="R525" s="126">
        <f t="shared" si="59"/>
        <v>550</v>
      </c>
      <c r="S525" s="126">
        <f t="shared" si="59"/>
        <v>550</v>
      </c>
    </row>
    <row r="526" spans="1:19" ht="18.75">
      <c r="A526" s="61"/>
      <c r="B526" s="60"/>
      <c r="C526" s="59"/>
      <c r="D526" s="69"/>
      <c r="E526" s="62"/>
      <c r="F526" s="62"/>
      <c r="G526" s="51"/>
      <c r="H526" s="2" t="s">
        <v>884</v>
      </c>
      <c r="I526" s="5">
        <v>669</v>
      </c>
      <c r="J526" s="15">
        <v>3</v>
      </c>
      <c r="K526" s="11">
        <v>10</v>
      </c>
      <c r="L526" s="57" t="s">
        <v>215</v>
      </c>
      <c r="M526" s="58" t="s">
        <v>217</v>
      </c>
      <c r="N526" s="58" t="s">
        <v>236</v>
      </c>
      <c r="O526" s="58" t="s">
        <v>890</v>
      </c>
      <c r="P526" s="3"/>
      <c r="Q526" s="126">
        <f>Q528+Q527</f>
        <v>550</v>
      </c>
      <c r="R526" s="126">
        <f>R528+R527</f>
        <v>550</v>
      </c>
      <c r="S526" s="126">
        <f>S528+S527</f>
        <v>550</v>
      </c>
    </row>
    <row r="527" spans="1:19" ht="31.5">
      <c r="A527" s="61"/>
      <c r="B527" s="60"/>
      <c r="C527" s="59"/>
      <c r="D527" s="69"/>
      <c r="E527" s="62"/>
      <c r="F527" s="62"/>
      <c r="G527" s="51"/>
      <c r="H527" s="2" t="s">
        <v>374</v>
      </c>
      <c r="I527" s="5">
        <v>669</v>
      </c>
      <c r="J527" s="15">
        <v>3</v>
      </c>
      <c r="K527" s="11">
        <v>10</v>
      </c>
      <c r="L527" s="57" t="s">
        <v>215</v>
      </c>
      <c r="M527" s="58" t="s">
        <v>217</v>
      </c>
      <c r="N527" s="58" t="s">
        <v>236</v>
      </c>
      <c r="O527" s="58" t="s">
        <v>890</v>
      </c>
      <c r="P527" s="3">
        <v>240</v>
      </c>
      <c r="Q527" s="126">
        <v>450</v>
      </c>
      <c r="R527" s="126">
        <v>450</v>
      </c>
      <c r="S527" s="126">
        <v>450</v>
      </c>
    </row>
    <row r="528" spans="1:19" s="113" customFormat="1" ht="18.75">
      <c r="A528" s="89"/>
      <c r="B528" s="90"/>
      <c r="C528" s="100"/>
      <c r="D528" s="107"/>
      <c r="E528" s="245"/>
      <c r="F528" s="245"/>
      <c r="G528" s="84"/>
      <c r="H528" s="2" t="s">
        <v>301</v>
      </c>
      <c r="I528" s="5">
        <v>669</v>
      </c>
      <c r="J528" s="15">
        <v>3</v>
      </c>
      <c r="K528" s="11">
        <v>10</v>
      </c>
      <c r="L528" s="57" t="s">
        <v>215</v>
      </c>
      <c r="M528" s="58" t="s">
        <v>217</v>
      </c>
      <c r="N528" s="58" t="s">
        <v>236</v>
      </c>
      <c r="O528" s="58" t="s">
        <v>890</v>
      </c>
      <c r="P528" s="3">
        <v>610</v>
      </c>
      <c r="Q528" s="126">
        <v>100</v>
      </c>
      <c r="R528" s="126">
        <v>100</v>
      </c>
      <c r="S528" s="126">
        <v>100</v>
      </c>
    </row>
    <row r="529" spans="1:19" s="221" customFormat="1" ht="18.75">
      <c r="A529" s="72"/>
      <c r="B529" s="218"/>
      <c r="C529" s="219"/>
      <c r="D529" s="307"/>
      <c r="E529" s="326"/>
      <c r="F529" s="326"/>
      <c r="G529" s="220"/>
      <c r="H529" s="80" t="s">
        <v>242</v>
      </c>
      <c r="I529" s="356">
        <v>669</v>
      </c>
      <c r="J529" s="53">
        <v>4</v>
      </c>
      <c r="K529" s="53"/>
      <c r="L529" s="54"/>
      <c r="M529" s="55"/>
      <c r="N529" s="55"/>
      <c r="O529" s="55"/>
      <c r="P529" s="6"/>
      <c r="Q529" s="248">
        <f>Q535+Q530+Q550</f>
        <v>119254.3</v>
      </c>
      <c r="R529" s="248">
        <f>R535+R530+R550</f>
        <v>5572.5</v>
      </c>
      <c r="S529" s="248">
        <f>S535+S530+S550</f>
        <v>5572.5</v>
      </c>
    </row>
    <row r="530" spans="1:19" s="221" customFormat="1" ht="18.75">
      <c r="A530" s="72"/>
      <c r="B530" s="218"/>
      <c r="C530" s="219"/>
      <c r="D530" s="307"/>
      <c r="E530" s="326"/>
      <c r="F530" s="326"/>
      <c r="G530" s="220"/>
      <c r="H530" s="227" t="s">
        <v>68</v>
      </c>
      <c r="I530" s="251">
        <v>669</v>
      </c>
      <c r="J530" s="86">
        <v>4</v>
      </c>
      <c r="K530" s="86">
        <v>8</v>
      </c>
      <c r="L530" s="54"/>
      <c r="M530" s="55"/>
      <c r="N530" s="55"/>
      <c r="O530" s="55"/>
      <c r="P530" s="6"/>
      <c r="Q530" s="248">
        <f aca="true" t="shared" si="60" ref="Q530:S533">Q531</f>
        <v>4312</v>
      </c>
      <c r="R530" s="248">
        <f t="shared" si="60"/>
        <v>0</v>
      </c>
      <c r="S530" s="248">
        <f t="shared" si="60"/>
        <v>0</v>
      </c>
    </row>
    <row r="531" spans="1:19" ht="31.5">
      <c r="A531" s="76"/>
      <c r="B531" s="73"/>
      <c r="C531" s="68"/>
      <c r="D531" s="69"/>
      <c r="E531" s="66"/>
      <c r="F531" s="66"/>
      <c r="G531" s="51"/>
      <c r="H531" s="2" t="s">
        <v>522</v>
      </c>
      <c r="I531" s="9">
        <v>669</v>
      </c>
      <c r="J531" s="11">
        <v>4</v>
      </c>
      <c r="K531" s="11">
        <v>8</v>
      </c>
      <c r="L531" s="57" t="s">
        <v>494</v>
      </c>
      <c r="M531" s="58" t="s">
        <v>220</v>
      </c>
      <c r="N531" s="58" t="s">
        <v>229</v>
      </c>
      <c r="O531" s="58" t="s">
        <v>261</v>
      </c>
      <c r="P531" s="3"/>
      <c r="Q531" s="126">
        <f t="shared" si="60"/>
        <v>4312</v>
      </c>
      <c r="R531" s="126">
        <f t="shared" si="60"/>
        <v>0</v>
      </c>
      <c r="S531" s="126">
        <f t="shared" si="60"/>
        <v>0</v>
      </c>
    </row>
    <row r="532" spans="1:19" ht="31.5">
      <c r="A532" s="76"/>
      <c r="B532" s="73"/>
      <c r="C532" s="68"/>
      <c r="D532" s="69"/>
      <c r="E532" s="66"/>
      <c r="F532" s="66"/>
      <c r="G532" s="51"/>
      <c r="H532" s="2" t="s">
        <v>899</v>
      </c>
      <c r="I532" s="9">
        <v>669</v>
      </c>
      <c r="J532" s="11">
        <v>4</v>
      </c>
      <c r="K532" s="11">
        <v>8</v>
      </c>
      <c r="L532" s="57" t="s">
        <v>494</v>
      </c>
      <c r="M532" s="58" t="s">
        <v>220</v>
      </c>
      <c r="N532" s="58" t="s">
        <v>236</v>
      </c>
      <c r="O532" s="58" t="s">
        <v>261</v>
      </c>
      <c r="P532" s="3"/>
      <c r="Q532" s="126">
        <f t="shared" si="60"/>
        <v>4312</v>
      </c>
      <c r="R532" s="126">
        <f t="shared" si="60"/>
        <v>0</v>
      </c>
      <c r="S532" s="126">
        <f t="shared" si="60"/>
        <v>0</v>
      </c>
    </row>
    <row r="533" spans="1:19" ht="18.75">
      <c r="A533" s="76"/>
      <c r="B533" s="73"/>
      <c r="C533" s="68"/>
      <c r="D533" s="69"/>
      <c r="E533" s="66"/>
      <c r="F533" s="66"/>
      <c r="G533" s="51"/>
      <c r="H533" s="2" t="s">
        <v>62</v>
      </c>
      <c r="I533" s="9">
        <v>669</v>
      </c>
      <c r="J533" s="11">
        <v>4</v>
      </c>
      <c r="K533" s="11">
        <v>8</v>
      </c>
      <c r="L533" s="57" t="s">
        <v>494</v>
      </c>
      <c r="M533" s="58" t="s">
        <v>220</v>
      </c>
      <c r="N533" s="58" t="s">
        <v>236</v>
      </c>
      <c r="O533" s="58" t="s">
        <v>63</v>
      </c>
      <c r="P533" s="3"/>
      <c r="Q533" s="126">
        <f t="shared" si="60"/>
        <v>4312</v>
      </c>
      <c r="R533" s="126">
        <f t="shared" si="60"/>
        <v>0</v>
      </c>
      <c r="S533" s="126">
        <f t="shared" si="60"/>
        <v>0</v>
      </c>
    </row>
    <row r="534" spans="1:19" ht="18.75">
      <c r="A534" s="76"/>
      <c r="B534" s="73"/>
      <c r="C534" s="68"/>
      <c r="D534" s="69"/>
      <c r="E534" s="66"/>
      <c r="F534" s="66"/>
      <c r="G534" s="51"/>
      <c r="H534" s="2" t="s">
        <v>301</v>
      </c>
      <c r="I534" s="9">
        <v>669</v>
      </c>
      <c r="J534" s="11">
        <v>4</v>
      </c>
      <c r="K534" s="11">
        <v>8</v>
      </c>
      <c r="L534" s="57" t="s">
        <v>494</v>
      </c>
      <c r="M534" s="58" t="s">
        <v>220</v>
      </c>
      <c r="N534" s="58" t="s">
        <v>236</v>
      </c>
      <c r="O534" s="58" t="s">
        <v>63</v>
      </c>
      <c r="P534" s="3">
        <v>610</v>
      </c>
      <c r="Q534" s="126">
        <f>4900-588</f>
        <v>4312</v>
      </c>
      <c r="R534" s="126">
        <v>0</v>
      </c>
      <c r="S534" s="126">
        <v>0</v>
      </c>
    </row>
    <row r="535" spans="1:19" s="113" customFormat="1" ht="19.5">
      <c r="A535" s="106"/>
      <c r="B535" s="128"/>
      <c r="C535" s="104"/>
      <c r="D535" s="107"/>
      <c r="E535" s="92"/>
      <c r="F535" s="92"/>
      <c r="G535" s="84"/>
      <c r="H535" s="227" t="s">
        <v>58</v>
      </c>
      <c r="I535" s="251">
        <v>669</v>
      </c>
      <c r="J535" s="86">
        <v>4</v>
      </c>
      <c r="K535" s="86">
        <v>9</v>
      </c>
      <c r="L535" s="87"/>
      <c r="M535" s="88"/>
      <c r="N535" s="88"/>
      <c r="O535" s="88"/>
      <c r="P535" s="93"/>
      <c r="Q535" s="127">
        <f>Q536</f>
        <v>114762.3</v>
      </c>
      <c r="R535" s="127">
        <f>R536</f>
        <v>5572.5</v>
      </c>
      <c r="S535" s="127">
        <f>S536</f>
        <v>5572.5</v>
      </c>
    </row>
    <row r="536" spans="1:19" ht="31.5">
      <c r="A536" s="72"/>
      <c r="B536" s="73"/>
      <c r="C536" s="68"/>
      <c r="D536" s="69"/>
      <c r="E536" s="66"/>
      <c r="F536" s="66"/>
      <c r="G536" s="51"/>
      <c r="H536" s="2" t="s">
        <v>535</v>
      </c>
      <c r="I536" s="9">
        <v>669</v>
      </c>
      <c r="J536" s="11">
        <v>4</v>
      </c>
      <c r="K536" s="11">
        <v>9</v>
      </c>
      <c r="L536" s="57" t="s">
        <v>218</v>
      </c>
      <c r="M536" s="58" t="s">
        <v>220</v>
      </c>
      <c r="N536" s="58" t="s">
        <v>229</v>
      </c>
      <c r="O536" s="58" t="s">
        <v>261</v>
      </c>
      <c r="P536" s="3"/>
      <c r="Q536" s="126">
        <f>Q540+Q537+Q547+Q544</f>
        <v>114762.3</v>
      </c>
      <c r="R536" s="126">
        <f>R540+R537+R547+R544</f>
        <v>5572.5</v>
      </c>
      <c r="S536" s="126">
        <f>S540+S537+S547+S544</f>
        <v>5572.5</v>
      </c>
    </row>
    <row r="537" spans="1:19" ht="18.75">
      <c r="A537" s="72"/>
      <c r="B537" s="73"/>
      <c r="C537" s="68"/>
      <c r="D537" s="69"/>
      <c r="E537" s="66"/>
      <c r="F537" s="66"/>
      <c r="G537" s="51"/>
      <c r="H537" s="2" t="s">
        <v>274</v>
      </c>
      <c r="I537" s="9">
        <v>669</v>
      </c>
      <c r="J537" s="11">
        <v>4</v>
      </c>
      <c r="K537" s="11">
        <v>9</v>
      </c>
      <c r="L537" s="57" t="s">
        <v>218</v>
      </c>
      <c r="M537" s="58" t="s">
        <v>220</v>
      </c>
      <c r="N537" s="58" t="s">
        <v>221</v>
      </c>
      <c r="O537" s="58" t="s">
        <v>261</v>
      </c>
      <c r="P537" s="3"/>
      <c r="Q537" s="126">
        <f aca="true" t="shared" si="61" ref="Q537:S538">Q538</f>
        <v>105816.3</v>
      </c>
      <c r="R537" s="126">
        <f t="shared" si="61"/>
        <v>0</v>
      </c>
      <c r="S537" s="126">
        <f t="shared" si="61"/>
        <v>0</v>
      </c>
    </row>
    <row r="538" spans="1:19" ht="31.5">
      <c r="A538" s="72"/>
      <c r="B538" s="73"/>
      <c r="C538" s="68"/>
      <c r="D538" s="69"/>
      <c r="E538" s="66"/>
      <c r="F538" s="66"/>
      <c r="G538" s="51"/>
      <c r="H538" s="2" t="s">
        <v>313</v>
      </c>
      <c r="I538" s="9">
        <v>669</v>
      </c>
      <c r="J538" s="11">
        <v>4</v>
      </c>
      <c r="K538" s="11">
        <v>9</v>
      </c>
      <c r="L538" s="57" t="s">
        <v>218</v>
      </c>
      <c r="M538" s="58" t="s">
        <v>220</v>
      </c>
      <c r="N538" s="58" t="s">
        <v>221</v>
      </c>
      <c r="O538" s="58" t="s">
        <v>831</v>
      </c>
      <c r="P538" s="3"/>
      <c r="Q538" s="126">
        <f t="shared" si="61"/>
        <v>105816.3</v>
      </c>
      <c r="R538" s="126">
        <f t="shared" si="61"/>
        <v>0</v>
      </c>
      <c r="S538" s="126">
        <f t="shared" si="61"/>
        <v>0</v>
      </c>
    </row>
    <row r="539" spans="1:19" ht="18.75">
      <c r="A539" s="72"/>
      <c r="B539" s="73"/>
      <c r="C539" s="68"/>
      <c r="D539" s="69"/>
      <c r="E539" s="66"/>
      <c r="F539" s="66"/>
      <c r="G539" s="51"/>
      <c r="H539" s="2" t="s">
        <v>299</v>
      </c>
      <c r="I539" s="9">
        <v>669</v>
      </c>
      <c r="J539" s="11">
        <v>4</v>
      </c>
      <c r="K539" s="11">
        <v>9</v>
      </c>
      <c r="L539" s="57" t="s">
        <v>218</v>
      </c>
      <c r="M539" s="58" t="s">
        <v>220</v>
      </c>
      <c r="N539" s="58" t="s">
        <v>221</v>
      </c>
      <c r="O539" s="58" t="s">
        <v>831</v>
      </c>
      <c r="P539" s="3">
        <v>240</v>
      </c>
      <c r="Q539" s="126">
        <f>103700+1549.3+150+567-150</f>
        <v>105816.3</v>
      </c>
      <c r="R539" s="126">
        <v>0</v>
      </c>
      <c r="S539" s="126">
        <v>0</v>
      </c>
    </row>
    <row r="540" spans="1:19" ht="18.75">
      <c r="A540" s="72"/>
      <c r="B540" s="74"/>
      <c r="C540" s="68"/>
      <c r="D540" s="71"/>
      <c r="E540" s="66"/>
      <c r="F540" s="66"/>
      <c r="G540" s="51"/>
      <c r="H540" s="2" t="s">
        <v>333</v>
      </c>
      <c r="I540" s="9">
        <v>669</v>
      </c>
      <c r="J540" s="11">
        <v>4</v>
      </c>
      <c r="K540" s="11">
        <v>9</v>
      </c>
      <c r="L540" s="57" t="s">
        <v>218</v>
      </c>
      <c r="M540" s="58" t="s">
        <v>220</v>
      </c>
      <c r="N540" s="58" t="s">
        <v>237</v>
      </c>
      <c r="O540" s="58" t="s">
        <v>261</v>
      </c>
      <c r="P540" s="3"/>
      <c r="Q540" s="126">
        <f>Q541</f>
        <v>7858</v>
      </c>
      <c r="R540" s="126">
        <f>R541</f>
        <v>4660.5</v>
      </c>
      <c r="S540" s="126">
        <f>S541</f>
        <v>4660.5</v>
      </c>
    </row>
    <row r="541" spans="1:19" ht="18.75">
      <c r="A541" s="61"/>
      <c r="B541" s="60"/>
      <c r="C541" s="65"/>
      <c r="D541" s="69"/>
      <c r="E541" s="112"/>
      <c r="F541" s="112"/>
      <c r="G541" s="51"/>
      <c r="H541" s="2" t="s">
        <v>320</v>
      </c>
      <c r="I541" s="9">
        <v>669</v>
      </c>
      <c r="J541" s="11">
        <v>4</v>
      </c>
      <c r="K541" s="11">
        <v>9</v>
      </c>
      <c r="L541" s="57" t="s">
        <v>218</v>
      </c>
      <c r="M541" s="58" t="s">
        <v>220</v>
      </c>
      <c r="N541" s="58" t="s">
        <v>237</v>
      </c>
      <c r="O541" s="58" t="s">
        <v>496</v>
      </c>
      <c r="P541" s="7"/>
      <c r="Q541" s="124">
        <f>Q542+Q543</f>
        <v>7858</v>
      </c>
      <c r="R541" s="124">
        <f>R542</f>
        <v>4660.5</v>
      </c>
      <c r="S541" s="124">
        <f>S542</f>
        <v>4660.5</v>
      </c>
    </row>
    <row r="542" spans="1:19" ht="18.75">
      <c r="A542" s="72"/>
      <c r="B542" s="73"/>
      <c r="C542" s="68"/>
      <c r="D542" s="69"/>
      <c r="E542" s="66"/>
      <c r="F542" s="66"/>
      <c r="G542" s="51"/>
      <c r="H542" s="2" t="s">
        <v>299</v>
      </c>
      <c r="I542" s="9">
        <v>669</v>
      </c>
      <c r="J542" s="11">
        <v>4</v>
      </c>
      <c r="K542" s="11">
        <v>9</v>
      </c>
      <c r="L542" s="57" t="s">
        <v>218</v>
      </c>
      <c r="M542" s="58" t="s">
        <v>220</v>
      </c>
      <c r="N542" s="58" t="s">
        <v>237</v>
      </c>
      <c r="O542" s="58" t="s">
        <v>496</v>
      </c>
      <c r="P542" s="3">
        <v>240</v>
      </c>
      <c r="Q542" s="126">
        <v>422.5</v>
      </c>
      <c r="R542" s="126">
        <v>4660.5</v>
      </c>
      <c r="S542" s="126">
        <v>4660.5</v>
      </c>
    </row>
    <row r="543" spans="1:19" ht="18.75">
      <c r="A543" s="72"/>
      <c r="B543" s="73"/>
      <c r="C543" s="68"/>
      <c r="D543" s="69"/>
      <c r="E543" s="66"/>
      <c r="F543" s="66"/>
      <c r="G543" s="51"/>
      <c r="H543" s="2" t="s">
        <v>301</v>
      </c>
      <c r="I543" s="9">
        <v>669</v>
      </c>
      <c r="J543" s="11">
        <v>4</v>
      </c>
      <c r="K543" s="11">
        <v>9</v>
      </c>
      <c r="L543" s="57" t="s">
        <v>218</v>
      </c>
      <c r="M543" s="58" t="s">
        <v>220</v>
      </c>
      <c r="N543" s="58" t="s">
        <v>237</v>
      </c>
      <c r="O543" s="58" t="s">
        <v>496</v>
      </c>
      <c r="P543" s="3">
        <v>610</v>
      </c>
      <c r="Q543" s="126">
        <f>2660.5+1500+500+1150+1100+525</f>
        <v>7435.5</v>
      </c>
      <c r="R543" s="126">
        <v>0</v>
      </c>
      <c r="S543" s="126">
        <v>0</v>
      </c>
    </row>
    <row r="544" spans="1:19" ht="31.5">
      <c r="A544" s="72"/>
      <c r="B544" s="73"/>
      <c r="C544" s="68"/>
      <c r="D544" s="69"/>
      <c r="E544" s="66"/>
      <c r="F544" s="66"/>
      <c r="G544" s="51"/>
      <c r="H544" s="2" t="s">
        <v>465</v>
      </c>
      <c r="I544" s="9">
        <v>669</v>
      </c>
      <c r="J544" s="11">
        <v>4</v>
      </c>
      <c r="K544" s="11">
        <v>9</v>
      </c>
      <c r="L544" s="57" t="s">
        <v>218</v>
      </c>
      <c r="M544" s="58" t="s">
        <v>220</v>
      </c>
      <c r="N544" s="58" t="s">
        <v>232</v>
      </c>
      <c r="O544" s="58" t="s">
        <v>261</v>
      </c>
      <c r="P544" s="3"/>
      <c r="Q544" s="126">
        <f aca="true" t="shared" si="62" ref="Q544:S545">Q545</f>
        <v>912</v>
      </c>
      <c r="R544" s="126">
        <f t="shared" si="62"/>
        <v>912</v>
      </c>
      <c r="S544" s="126">
        <f t="shared" si="62"/>
        <v>912</v>
      </c>
    </row>
    <row r="545" spans="1:19" ht="31.5">
      <c r="A545" s="72"/>
      <c r="B545" s="73"/>
      <c r="C545" s="68"/>
      <c r="D545" s="69"/>
      <c r="E545" s="66"/>
      <c r="F545" s="66"/>
      <c r="G545" s="51"/>
      <c r="H545" s="2" t="s">
        <v>16</v>
      </c>
      <c r="I545" s="9">
        <v>669</v>
      </c>
      <c r="J545" s="11">
        <v>4</v>
      </c>
      <c r="K545" s="11">
        <v>9</v>
      </c>
      <c r="L545" s="57" t="s">
        <v>218</v>
      </c>
      <c r="M545" s="58" t="s">
        <v>220</v>
      </c>
      <c r="N545" s="58" t="s">
        <v>232</v>
      </c>
      <c r="O545" s="58" t="s">
        <v>497</v>
      </c>
      <c r="P545" s="3"/>
      <c r="Q545" s="126">
        <f t="shared" si="62"/>
        <v>912</v>
      </c>
      <c r="R545" s="126">
        <f t="shared" si="62"/>
        <v>912</v>
      </c>
      <c r="S545" s="126">
        <f t="shared" si="62"/>
        <v>912</v>
      </c>
    </row>
    <row r="546" spans="1:19" ht="18.75">
      <c r="A546" s="72"/>
      <c r="B546" s="73"/>
      <c r="C546" s="68"/>
      <c r="D546" s="69"/>
      <c r="E546" s="66"/>
      <c r="F546" s="66"/>
      <c r="G546" s="51"/>
      <c r="H546" s="2" t="s">
        <v>299</v>
      </c>
      <c r="I546" s="9">
        <v>669</v>
      </c>
      <c r="J546" s="11">
        <v>4</v>
      </c>
      <c r="K546" s="11">
        <v>9</v>
      </c>
      <c r="L546" s="57" t="s">
        <v>218</v>
      </c>
      <c r="M546" s="58" t="s">
        <v>220</v>
      </c>
      <c r="N546" s="58" t="s">
        <v>232</v>
      </c>
      <c r="O546" s="58" t="s">
        <v>497</v>
      </c>
      <c r="P546" s="3">
        <v>240</v>
      </c>
      <c r="Q546" s="126">
        <v>912</v>
      </c>
      <c r="R546" s="126">
        <v>912</v>
      </c>
      <c r="S546" s="126">
        <v>912</v>
      </c>
    </row>
    <row r="547" spans="1:19" ht="47.25">
      <c r="A547" s="72"/>
      <c r="B547" s="73"/>
      <c r="C547" s="68"/>
      <c r="D547" s="69"/>
      <c r="E547" s="66"/>
      <c r="F547" s="66"/>
      <c r="G547" s="51"/>
      <c r="H547" s="2" t="s">
        <v>466</v>
      </c>
      <c r="I547" s="9">
        <v>669</v>
      </c>
      <c r="J547" s="11">
        <v>4</v>
      </c>
      <c r="K547" s="11">
        <v>9</v>
      </c>
      <c r="L547" s="57" t="s">
        <v>218</v>
      </c>
      <c r="M547" s="58" t="s">
        <v>220</v>
      </c>
      <c r="N547" s="58" t="s">
        <v>223</v>
      </c>
      <c r="O547" s="58" t="s">
        <v>261</v>
      </c>
      <c r="P547" s="3"/>
      <c r="Q547" s="126">
        <f aca="true" t="shared" si="63" ref="Q547:S548">Q548</f>
        <v>176</v>
      </c>
      <c r="R547" s="126">
        <f t="shared" si="63"/>
        <v>0</v>
      </c>
      <c r="S547" s="126">
        <f t="shared" si="63"/>
        <v>0</v>
      </c>
    </row>
    <row r="548" spans="1:19" ht="18.75">
      <c r="A548" s="72"/>
      <c r="B548" s="73"/>
      <c r="C548" s="68"/>
      <c r="D548" s="69"/>
      <c r="E548" s="66"/>
      <c r="F548" s="66"/>
      <c r="G548" s="51"/>
      <c r="H548" s="2" t="s">
        <v>320</v>
      </c>
      <c r="I548" s="9">
        <v>669</v>
      </c>
      <c r="J548" s="11">
        <v>4</v>
      </c>
      <c r="K548" s="11">
        <v>9</v>
      </c>
      <c r="L548" s="57" t="s">
        <v>218</v>
      </c>
      <c r="M548" s="58" t="s">
        <v>220</v>
      </c>
      <c r="N548" s="58" t="s">
        <v>223</v>
      </c>
      <c r="O548" s="58" t="s">
        <v>496</v>
      </c>
      <c r="P548" s="3"/>
      <c r="Q548" s="126">
        <f t="shared" si="63"/>
        <v>176</v>
      </c>
      <c r="R548" s="126">
        <f t="shared" si="63"/>
        <v>0</v>
      </c>
      <c r="S548" s="126">
        <f t="shared" si="63"/>
        <v>0</v>
      </c>
    </row>
    <row r="549" spans="1:19" ht="18.75">
      <c r="A549" s="72"/>
      <c r="B549" s="73"/>
      <c r="C549" s="68"/>
      <c r="D549" s="69"/>
      <c r="E549" s="66"/>
      <c r="F549" s="66"/>
      <c r="G549" s="51"/>
      <c r="H549" s="2" t="s">
        <v>299</v>
      </c>
      <c r="I549" s="9">
        <v>669</v>
      </c>
      <c r="J549" s="11">
        <v>4</v>
      </c>
      <c r="K549" s="11">
        <v>9</v>
      </c>
      <c r="L549" s="57" t="s">
        <v>218</v>
      </c>
      <c r="M549" s="58" t="s">
        <v>220</v>
      </c>
      <c r="N549" s="58" t="s">
        <v>223</v>
      </c>
      <c r="O549" s="58" t="s">
        <v>496</v>
      </c>
      <c r="P549" s="3">
        <v>240</v>
      </c>
      <c r="Q549" s="126">
        <v>176</v>
      </c>
      <c r="R549" s="126">
        <v>0</v>
      </c>
      <c r="S549" s="126">
        <v>0</v>
      </c>
    </row>
    <row r="550" spans="1:19" s="113" customFormat="1" ht="19.5">
      <c r="A550" s="106"/>
      <c r="B550" s="128"/>
      <c r="C550" s="104"/>
      <c r="D550" s="107"/>
      <c r="E550" s="92"/>
      <c r="F550" s="92"/>
      <c r="G550" s="84"/>
      <c r="H550" s="225" t="s">
        <v>210</v>
      </c>
      <c r="I550" s="251">
        <v>669</v>
      </c>
      <c r="J550" s="86">
        <v>4</v>
      </c>
      <c r="K550" s="86">
        <v>12</v>
      </c>
      <c r="L550" s="87"/>
      <c r="M550" s="88"/>
      <c r="N550" s="88"/>
      <c r="O550" s="88"/>
      <c r="P550" s="93"/>
      <c r="Q550" s="127">
        <f>Q551</f>
        <v>180</v>
      </c>
      <c r="R550" s="127">
        <f aca="true" t="shared" si="64" ref="R550:S553">R551</f>
        <v>0</v>
      </c>
      <c r="S550" s="127">
        <f t="shared" si="64"/>
        <v>0</v>
      </c>
    </row>
    <row r="551" spans="1:19" ht="31.5">
      <c r="A551" s="72"/>
      <c r="B551" s="73"/>
      <c r="C551" s="68"/>
      <c r="D551" s="69"/>
      <c r="E551" s="66"/>
      <c r="F551" s="66"/>
      <c r="G551" s="51"/>
      <c r="H551" s="2" t="s">
        <v>537</v>
      </c>
      <c r="I551" s="9">
        <v>669</v>
      </c>
      <c r="J551" s="11">
        <v>4</v>
      </c>
      <c r="K551" s="11">
        <v>12</v>
      </c>
      <c r="L551" s="57" t="s">
        <v>223</v>
      </c>
      <c r="M551" s="58" t="s">
        <v>220</v>
      </c>
      <c r="N551" s="58" t="s">
        <v>229</v>
      </c>
      <c r="O551" s="58" t="s">
        <v>261</v>
      </c>
      <c r="P551" s="3"/>
      <c r="Q551" s="126">
        <f>Q552</f>
        <v>180</v>
      </c>
      <c r="R551" s="126">
        <f t="shared" si="64"/>
        <v>0</v>
      </c>
      <c r="S551" s="126">
        <f t="shared" si="64"/>
        <v>0</v>
      </c>
    </row>
    <row r="552" spans="1:19" ht="31.5">
      <c r="A552" s="72"/>
      <c r="B552" s="73"/>
      <c r="C552" s="68"/>
      <c r="D552" s="69"/>
      <c r="E552" s="66"/>
      <c r="F552" s="66"/>
      <c r="G552" s="51"/>
      <c r="H552" s="2" t="s">
        <v>538</v>
      </c>
      <c r="I552" s="9">
        <v>669</v>
      </c>
      <c r="J552" s="11">
        <v>4</v>
      </c>
      <c r="K552" s="11">
        <v>12</v>
      </c>
      <c r="L552" s="57" t="s">
        <v>223</v>
      </c>
      <c r="M552" s="58" t="s">
        <v>220</v>
      </c>
      <c r="N552" s="58" t="s">
        <v>221</v>
      </c>
      <c r="O552" s="58" t="s">
        <v>261</v>
      </c>
      <c r="P552" s="3"/>
      <c r="Q552" s="126">
        <f>Q553</f>
        <v>180</v>
      </c>
      <c r="R552" s="126">
        <f t="shared" si="64"/>
        <v>0</v>
      </c>
      <c r="S552" s="126">
        <f t="shared" si="64"/>
        <v>0</v>
      </c>
    </row>
    <row r="553" spans="1:19" ht="18.75">
      <c r="A553" s="72"/>
      <c r="B553" s="73"/>
      <c r="C553" s="68"/>
      <c r="D553" s="69"/>
      <c r="E553" s="66"/>
      <c r="F553" s="66"/>
      <c r="G553" s="51"/>
      <c r="H553" s="2" t="s">
        <v>8</v>
      </c>
      <c r="I553" s="9">
        <v>669</v>
      </c>
      <c r="J553" s="11">
        <v>4</v>
      </c>
      <c r="K553" s="11">
        <v>12</v>
      </c>
      <c r="L553" s="57" t="s">
        <v>223</v>
      </c>
      <c r="M553" s="58" t="s">
        <v>220</v>
      </c>
      <c r="N553" s="58" t="s">
        <v>221</v>
      </c>
      <c r="O553" s="58" t="s">
        <v>9</v>
      </c>
      <c r="P553" s="3"/>
      <c r="Q553" s="126">
        <f>Q554</f>
        <v>180</v>
      </c>
      <c r="R553" s="126">
        <f t="shared" si="64"/>
        <v>0</v>
      </c>
      <c r="S553" s="126">
        <f t="shared" si="64"/>
        <v>0</v>
      </c>
    </row>
    <row r="554" spans="1:19" ht="18.75">
      <c r="A554" s="72"/>
      <c r="B554" s="73"/>
      <c r="C554" s="68"/>
      <c r="D554" s="69"/>
      <c r="E554" s="66"/>
      <c r="F554" s="66"/>
      <c r="G554" s="51"/>
      <c r="H554" s="2" t="s">
        <v>299</v>
      </c>
      <c r="I554" s="9">
        <v>669</v>
      </c>
      <c r="J554" s="11">
        <v>4</v>
      </c>
      <c r="K554" s="11">
        <v>12</v>
      </c>
      <c r="L554" s="57" t="s">
        <v>223</v>
      </c>
      <c r="M554" s="58" t="s">
        <v>220</v>
      </c>
      <c r="N554" s="58" t="s">
        <v>221</v>
      </c>
      <c r="O554" s="58" t="s">
        <v>9</v>
      </c>
      <c r="P554" s="3">
        <v>240</v>
      </c>
      <c r="Q554" s="126">
        <v>180</v>
      </c>
      <c r="R554" s="126">
        <v>0</v>
      </c>
      <c r="S554" s="126">
        <v>0</v>
      </c>
    </row>
    <row r="555" spans="1:19" s="113" customFormat="1" ht="19.5">
      <c r="A555" s="106"/>
      <c r="B555" s="128"/>
      <c r="C555" s="104"/>
      <c r="D555" s="107"/>
      <c r="E555" s="92"/>
      <c r="F555" s="92"/>
      <c r="G555" s="84"/>
      <c r="H555" s="227" t="s">
        <v>244</v>
      </c>
      <c r="I555" s="251">
        <v>669</v>
      </c>
      <c r="J555" s="86">
        <v>5</v>
      </c>
      <c r="K555" s="86"/>
      <c r="L555" s="87"/>
      <c r="M555" s="88"/>
      <c r="N555" s="88"/>
      <c r="O555" s="88"/>
      <c r="P555" s="93"/>
      <c r="Q555" s="127">
        <f>Q563+Q586+Q633+Q556</f>
        <v>63811.2</v>
      </c>
      <c r="R555" s="127">
        <f>R563+R586+R633</f>
        <v>27838.5</v>
      </c>
      <c r="S555" s="127">
        <f>S563+S586+S633</f>
        <v>22222.7</v>
      </c>
    </row>
    <row r="556" spans="1:19" s="113" customFormat="1" ht="19.5" hidden="1">
      <c r="A556" s="106"/>
      <c r="B556" s="128"/>
      <c r="C556" s="104"/>
      <c r="D556" s="107"/>
      <c r="E556" s="92"/>
      <c r="F556" s="92"/>
      <c r="G556" s="84"/>
      <c r="H556" s="227" t="s">
        <v>260</v>
      </c>
      <c r="I556" s="251">
        <v>669</v>
      </c>
      <c r="J556" s="86">
        <v>5</v>
      </c>
      <c r="K556" s="86">
        <v>1</v>
      </c>
      <c r="L556" s="87"/>
      <c r="M556" s="88"/>
      <c r="N556" s="88"/>
      <c r="O556" s="88"/>
      <c r="P556" s="93"/>
      <c r="Q556" s="127">
        <f aca="true" t="shared" si="65" ref="Q556:S559">Q557</f>
        <v>0</v>
      </c>
      <c r="R556" s="127">
        <f t="shared" si="65"/>
        <v>0</v>
      </c>
      <c r="S556" s="127">
        <f t="shared" si="65"/>
        <v>0</v>
      </c>
    </row>
    <row r="557" spans="1:19" ht="31.5" hidden="1">
      <c r="A557" s="76"/>
      <c r="B557" s="73"/>
      <c r="C557" s="68"/>
      <c r="D557" s="69"/>
      <c r="E557" s="66"/>
      <c r="F557" s="66"/>
      <c r="G557" s="51"/>
      <c r="H557" s="25" t="s">
        <v>522</v>
      </c>
      <c r="I557" s="9">
        <v>669</v>
      </c>
      <c r="J557" s="11">
        <v>5</v>
      </c>
      <c r="K557" s="11">
        <v>1</v>
      </c>
      <c r="L557" s="57" t="s">
        <v>494</v>
      </c>
      <c r="M557" s="58" t="s">
        <v>220</v>
      </c>
      <c r="N557" s="58" t="s">
        <v>229</v>
      </c>
      <c r="O557" s="58" t="s">
        <v>261</v>
      </c>
      <c r="P557" s="3"/>
      <c r="Q557" s="126">
        <f>Q558</f>
        <v>0</v>
      </c>
      <c r="R557" s="126">
        <f t="shared" si="65"/>
        <v>0</v>
      </c>
      <c r="S557" s="126">
        <f t="shared" si="65"/>
        <v>0</v>
      </c>
    </row>
    <row r="558" spans="1:19" ht="31.5" hidden="1">
      <c r="A558" s="76"/>
      <c r="B558" s="73"/>
      <c r="C558" s="68"/>
      <c r="D558" s="69"/>
      <c r="E558" s="66"/>
      <c r="F558" s="66"/>
      <c r="G558" s="51"/>
      <c r="H558" s="25" t="s">
        <v>894</v>
      </c>
      <c r="I558" s="256">
        <v>669</v>
      </c>
      <c r="J558" s="11">
        <v>5</v>
      </c>
      <c r="K558" s="11">
        <v>1</v>
      </c>
      <c r="L558" s="57" t="s">
        <v>494</v>
      </c>
      <c r="M558" s="58" t="s">
        <v>220</v>
      </c>
      <c r="N558" s="58" t="s">
        <v>236</v>
      </c>
      <c r="O558" s="58" t="s">
        <v>261</v>
      </c>
      <c r="P558" s="3"/>
      <c r="Q558" s="126">
        <f>Q559+Q561</f>
        <v>0</v>
      </c>
      <c r="R558" s="126">
        <f t="shared" si="65"/>
        <v>0</v>
      </c>
      <c r="S558" s="126">
        <f t="shared" si="65"/>
        <v>0</v>
      </c>
    </row>
    <row r="559" spans="1:19" ht="18.75" hidden="1">
      <c r="A559" s="76"/>
      <c r="B559" s="73"/>
      <c r="C559" s="68"/>
      <c r="D559" s="69"/>
      <c r="E559" s="66"/>
      <c r="F559" s="66"/>
      <c r="G559" s="51"/>
      <c r="H559" s="25" t="s">
        <v>906</v>
      </c>
      <c r="I559" s="9">
        <v>669</v>
      </c>
      <c r="J559" s="11">
        <v>5</v>
      </c>
      <c r="K559" s="11">
        <v>1</v>
      </c>
      <c r="L559" s="57" t="s">
        <v>494</v>
      </c>
      <c r="M559" s="58" t="s">
        <v>220</v>
      </c>
      <c r="N559" s="58" t="s">
        <v>236</v>
      </c>
      <c r="O559" s="58" t="s">
        <v>905</v>
      </c>
      <c r="P559" s="3"/>
      <c r="Q559" s="126">
        <f t="shared" si="65"/>
        <v>0</v>
      </c>
      <c r="R559" s="126">
        <f t="shared" si="65"/>
        <v>0</v>
      </c>
      <c r="S559" s="126">
        <f t="shared" si="65"/>
        <v>0</v>
      </c>
    </row>
    <row r="560" spans="1:19" ht="18.75" hidden="1">
      <c r="A560" s="76"/>
      <c r="B560" s="73"/>
      <c r="C560" s="68"/>
      <c r="D560" s="69"/>
      <c r="E560" s="66"/>
      <c r="F560" s="66"/>
      <c r="G560" s="51"/>
      <c r="H560" s="25" t="s">
        <v>301</v>
      </c>
      <c r="I560" s="9">
        <v>669</v>
      </c>
      <c r="J560" s="11">
        <v>5</v>
      </c>
      <c r="K560" s="11">
        <v>1</v>
      </c>
      <c r="L560" s="57" t="s">
        <v>494</v>
      </c>
      <c r="M560" s="58" t="s">
        <v>220</v>
      </c>
      <c r="N560" s="58" t="s">
        <v>236</v>
      </c>
      <c r="O560" s="58" t="s">
        <v>905</v>
      </c>
      <c r="P560" s="3">
        <v>610</v>
      </c>
      <c r="Q560" s="126"/>
      <c r="R560" s="126"/>
      <c r="S560" s="126"/>
    </row>
    <row r="561" spans="1:19" ht="31.5" hidden="1">
      <c r="A561" s="76"/>
      <c r="B561" s="73"/>
      <c r="C561" s="68"/>
      <c r="D561" s="69"/>
      <c r="E561" s="66"/>
      <c r="F561" s="66"/>
      <c r="G561" s="51"/>
      <c r="H561" s="25" t="s">
        <v>945</v>
      </c>
      <c r="I561" s="9">
        <v>669</v>
      </c>
      <c r="J561" s="11">
        <v>5</v>
      </c>
      <c r="K561" s="11">
        <v>1</v>
      </c>
      <c r="L561" s="57" t="s">
        <v>494</v>
      </c>
      <c r="M561" s="58" t="s">
        <v>220</v>
      </c>
      <c r="N561" s="58" t="s">
        <v>236</v>
      </c>
      <c r="O561" s="58" t="s">
        <v>946</v>
      </c>
      <c r="P561" s="3"/>
      <c r="Q561" s="126">
        <f>Q562</f>
        <v>0</v>
      </c>
      <c r="R561" s="126">
        <f>R562</f>
        <v>0</v>
      </c>
      <c r="S561" s="126">
        <f>S562</f>
        <v>0</v>
      </c>
    </row>
    <row r="562" spans="1:19" ht="18.75" hidden="1">
      <c r="A562" s="76"/>
      <c r="B562" s="73"/>
      <c r="C562" s="68"/>
      <c r="D562" s="69"/>
      <c r="E562" s="66"/>
      <c r="F562" s="66"/>
      <c r="G562" s="51"/>
      <c r="H562" s="2" t="s">
        <v>299</v>
      </c>
      <c r="I562" s="9">
        <v>669</v>
      </c>
      <c r="J562" s="11">
        <v>5</v>
      </c>
      <c r="K562" s="11">
        <v>1</v>
      </c>
      <c r="L562" s="57" t="s">
        <v>494</v>
      </c>
      <c r="M562" s="58" t="s">
        <v>220</v>
      </c>
      <c r="N562" s="58" t="s">
        <v>236</v>
      </c>
      <c r="O562" s="58" t="s">
        <v>946</v>
      </c>
      <c r="P562" s="3">
        <v>240</v>
      </c>
      <c r="Q562" s="126"/>
      <c r="R562" s="126"/>
      <c r="S562" s="126"/>
    </row>
    <row r="563" spans="1:19" s="113" customFormat="1" ht="19.5">
      <c r="A563" s="106"/>
      <c r="B563" s="128"/>
      <c r="C563" s="104"/>
      <c r="D563" s="107"/>
      <c r="E563" s="92"/>
      <c r="F563" s="92"/>
      <c r="G563" s="84"/>
      <c r="H563" s="222" t="s">
        <v>312</v>
      </c>
      <c r="I563" s="251">
        <v>669</v>
      </c>
      <c r="J563" s="86">
        <v>5</v>
      </c>
      <c r="K563" s="86">
        <v>2</v>
      </c>
      <c r="L563" s="87"/>
      <c r="M563" s="88"/>
      <c r="N563" s="88"/>
      <c r="O563" s="88"/>
      <c r="P563" s="93"/>
      <c r="Q563" s="127">
        <f>Q570+Q564</f>
        <v>1180</v>
      </c>
      <c r="R563" s="127">
        <f>R570+R564</f>
        <v>5083.3</v>
      </c>
      <c r="S563" s="127">
        <f>S570+S564</f>
        <v>0</v>
      </c>
    </row>
    <row r="564" spans="1:19" s="113" customFormat="1" ht="31.5" hidden="1">
      <c r="A564" s="106"/>
      <c r="B564" s="128"/>
      <c r="C564" s="104"/>
      <c r="D564" s="107"/>
      <c r="E564" s="92"/>
      <c r="F564" s="92"/>
      <c r="G564" s="84"/>
      <c r="H564" s="25" t="s">
        <v>522</v>
      </c>
      <c r="I564" s="9">
        <v>669</v>
      </c>
      <c r="J564" s="11">
        <v>5</v>
      </c>
      <c r="K564" s="11">
        <v>2</v>
      </c>
      <c r="L564" s="57" t="s">
        <v>494</v>
      </c>
      <c r="M564" s="58" t="s">
        <v>220</v>
      </c>
      <c r="N564" s="58" t="s">
        <v>229</v>
      </c>
      <c r="O564" s="58" t="s">
        <v>261</v>
      </c>
      <c r="P564" s="3"/>
      <c r="Q564" s="126">
        <f>Q565</f>
        <v>0</v>
      </c>
      <c r="R564" s="126">
        <f>R565</f>
        <v>0</v>
      </c>
      <c r="S564" s="126">
        <f>S565</f>
        <v>0</v>
      </c>
    </row>
    <row r="565" spans="1:19" s="113" customFormat="1" ht="31.5" hidden="1">
      <c r="A565" s="106"/>
      <c r="B565" s="128"/>
      <c r="C565" s="104"/>
      <c r="D565" s="107"/>
      <c r="E565" s="92"/>
      <c r="F565" s="92"/>
      <c r="G565" s="84"/>
      <c r="H565" s="25" t="s">
        <v>894</v>
      </c>
      <c r="I565" s="9">
        <v>669</v>
      </c>
      <c r="J565" s="11">
        <v>5</v>
      </c>
      <c r="K565" s="11">
        <v>2</v>
      </c>
      <c r="L565" s="57" t="s">
        <v>494</v>
      </c>
      <c r="M565" s="58" t="s">
        <v>220</v>
      </c>
      <c r="N565" s="58" t="s">
        <v>236</v>
      </c>
      <c r="O565" s="58" t="s">
        <v>261</v>
      </c>
      <c r="P565" s="3"/>
      <c r="Q565" s="126">
        <f>Q566+Q569</f>
        <v>0</v>
      </c>
      <c r="R565" s="126">
        <f>R566+R569</f>
        <v>0</v>
      </c>
      <c r="S565" s="126">
        <f>S566+S569</f>
        <v>0</v>
      </c>
    </row>
    <row r="566" spans="1:19" s="113" customFormat="1" ht="18.75" hidden="1">
      <c r="A566" s="106"/>
      <c r="B566" s="128"/>
      <c r="C566" s="104"/>
      <c r="D566" s="107"/>
      <c r="E566" s="92"/>
      <c r="F566" s="92"/>
      <c r="G566" s="84"/>
      <c r="H566" s="2" t="s">
        <v>60</v>
      </c>
      <c r="I566" s="9">
        <v>669</v>
      </c>
      <c r="J566" s="11">
        <v>5</v>
      </c>
      <c r="K566" s="11">
        <v>2</v>
      </c>
      <c r="L566" s="57" t="s">
        <v>494</v>
      </c>
      <c r="M566" s="58" t="s">
        <v>220</v>
      </c>
      <c r="N566" s="58" t="s">
        <v>236</v>
      </c>
      <c r="O566" s="58" t="s">
        <v>264</v>
      </c>
      <c r="P566" s="3"/>
      <c r="Q566" s="126">
        <f>Q567</f>
        <v>0</v>
      </c>
      <c r="R566" s="126">
        <f>R567</f>
        <v>0</v>
      </c>
      <c r="S566" s="126">
        <f>S567</f>
        <v>0</v>
      </c>
    </row>
    <row r="567" spans="1:19" s="113" customFormat="1" ht="18.75" hidden="1">
      <c r="A567" s="106"/>
      <c r="B567" s="128"/>
      <c r="C567" s="104"/>
      <c r="D567" s="107"/>
      <c r="E567" s="92"/>
      <c r="F567" s="92"/>
      <c r="G567" s="84"/>
      <c r="H567" s="2" t="s">
        <v>299</v>
      </c>
      <c r="I567" s="9">
        <v>669</v>
      </c>
      <c r="J567" s="11">
        <v>5</v>
      </c>
      <c r="K567" s="11">
        <v>2</v>
      </c>
      <c r="L567" s="57" t="s">
        <v>494</v>
      </c>
      <c r="M567" s="58" t="s">
        <v>220</v>
      </c>
      <c r="N567" s="58" t="s">
        <v>236</v>
      </c>
      <c r="O567" s="58" t="s">
        <v>264</v>
      </c>
      <c r="P567" s="3">
        <v>240</v>
      </c>
      <c r="Q567" s="126">
        <v>0</v>
      </c>
      <c r="R567" s="126">
        <v>0</v>
      </c>
      <c r="S567" s="126">
        <v>0</v>
      </c>
    </row>
    <row r="568" spans="1:19" s="113" customFormat="1" ht="18.75" hidden="1">
      <c r="A568" s="106"/>
      <c r="B568" s="128"/>
      <c r="C568" s="104"/>
      <c r="D568" s="107"/>
      <c r="E568" s="92"/>
      <c r="F568" s="92"/>
      <c r="G568" s="84"/>
      <c r="H568" s="26" t="s">
        <v>462</v>
      </c>
      <c r="I568" s="9">
        <v>669</v>
      </c>
      <c r="J568" s="11">
        <v>5</v>
      </c>
      <c r="K568" s="11">
        <v>2</v>
      </c>
      <c r="L568" s="57" t="s">
        <v>494</v>
      </c>
      <c r="M568" s="58" t="s">
        <v>220</v>
      </c>
      <c r="N568" s="58" t="s">
        <v>236</v>
      </c>
      <c r="O568" s="58" t="s">
        <v>316</v>
      </c>
      <c r="P568" s="3"/>
      <c r="Q568" s="126">
        <f>Q569</f>
        <v>0</v>
      </c>
      <c r="R568" s="126">
        <f>R569</f>
        <v>0</v>
      </c>
      <c r="S568" s="126">
        <f>S569</f>
        <v>0</v>
      </c>
    </row>
    <row r="569" spans="1:19" s="113" customFormat="1" ht="18.75" hidden="1">
      <c r="A569" s="106"/>
      <c r="B569" s="128"/>
      <c r="C569" s="104"/>
      <c r="D569" s="107"/>
      <c r="E569" s="92"/>
      <c r="F569" s="92"/>
      <c r="G569" s="84"/>
      <c r="H569" s="2" t="s">
        <v>299</v>
      </c>
      <c r="I569" s="9">
        <v>669</v>
      </c>
      <c r="J569" s="11">
        <v>5</v>
      </c>
      <c r="K569" s="11">
        <v>2</v>
      </c>
      <c r="L569" s="57" t="s">
        <v>494</v>
      </c>
      <c r="M569" s="58" t="s">
        <v>220</v>
      </c>
      <c r="N569" s="58" t="s">
        <v>236</v>
      </c>
      <c r="O569" s="58" t="s">
        <v>316</v>
      </c>
      <c r="P569" s="3">
        <v>240</v>
      </c>
      <c r="Q569" s="126">
        <f>1087.2-1087.2</f>
        <v>0</v>
      </c>
      <c r="R569" s="126">
        <v>0</v>
      </c>
      <c r="S569" s="126">
        <v>0</v>
      </c>
    </row>
    <row r="570" spans="1:19" ht="31.5">
      <c r="A570" s="76"/>
      <c r="B570" s="73"/>
      <c r="C570" s="68"/>
      <c r="D570" s="69"/>
      <c r="E570" s="66"/>
      <c r="F570" s="66"/>
      <c r="G570" s="51"/>
      <c r="H570" s="25" t="s">
        <v>540</v>
      </c>
      <c r="I570" s="9">
        <v>669</v>
      </c>
      <c r="J570" s="11">
        <v>5</v>
      </c>
      <c r="K570" s="11">
        <v>2</v>
      </c>
      <c r="L570" s="57" t="s">
        <v>515</v>
      </c>
      <c r="M570" s="58" t="s">
        <v>220</v>
      </c>
      <c r="N570" s="58" t="s">
        <v>229</v>
      </c>
      <c r="O570" s="58" t="s">
        <v>261</v>
      </c>
      <c r="P570" s="3"/>
      <c r="Q570" s="126">
        <f>Q571+Q580+Q583</f>
        <v>1180</v>
      </c>
      <c r="R570" s="126">
        <f>R571+R580</f>
        <v>5083.3</v>
      </c>
      <c r="S570" s="126">
        <f>S571+S580</f>
        <v>0</v>
      </c>
    </row>
    <row r="571" spans="1:19" ht="18.75">
      <c r="A571" s="76"/>
      <c r="B571" s="73"/>
      <c r="C571" s="68"/>
      <c r="D571" s="69"/>
      <c r="E571" s="66"/>
      <c r="F571" s="66"/>
      <c r="G571" s="51"/>
      <c r="H571" s="25" t="s">
        <v>1037</v>
      </c>
      <c r="I571" s="256">
        <v>669</v>
      </c>
      <c r="J571" s="11">
        <v>5</v>
      </c>
      <c r="K571" s="11">
        <v>2</v>
      </c>
      <c r="L571" s="57" t="s">
        <v>515</v>
      </c>
      <c r="M571" s="58" t="s">
        <v>220</v>
      </c>
      <c r="N571" s="58" t="s">
        <v>232</v>
      </c>
      <c r="O571" s="58" t="s">
        <v>261</v>
      </c>
      <c r="P571" s="3"/>
      <c r="Q571" s="126">
        <f>Q572+Q574+Q578+Q576</f>
        <v>1180</v>
      </c>
      <c r="R571" s="126">
        <f>R572+R574+R578+R576</f>
        <v>5083.3</v>
      </c>
      <c r="S571" s="126">
        <f>S572+S574+S578+S576</f>
        <v>0</v>
      </c>
    </row>
    <row r="572" spans="1:19" ht="18.75">
      <c r="A572" s="76"/>
      <c r="B572" s="73"/>
      <c r="C572" s="68"/>
      <c r="D572" s="69"/>
      <c r="E572" s="66"/>
      <c r="F572" s="66"/>
      <c r="G572" s="51"/>
      <c r="H572" s="398" t="s">
        <v>1081</v>
      </c>
      <c r="I572" s="9">
        <v>669</v>
      </c>
      <c r="J572" s="11">
        <v>5</v>
      </c>
      <c r="K572" s="11">
        <v>2</v>
      </c>
      <c r="L572" s="57" t="s">
        <v>515</v>
      </c>
      <c r="M572" s="58" t="s">
        <v>220</v>
      </c>
      <c r="N572" s="58" t="s">
        <v>232</v>
      </c>
      <c r="O572" s="58" t="s">
        <v>518</v>
      </c>
      <c r="P572" s="3"/>
      <c r="Q572" s="126">
        <f>Q573</f>
        <v>1180</v>
      </c>
      <c r="R572" s="126">
        <f>R573</f>
        <v>0</v>
      </c>
      <c r="S572" s="126">
        <f>S573</f>
        <v>0</v>
      </c>
    </row>
    <row r="573" spans="1:19" ht="18.75">
      <c r="A573" s="76"/>
      <c r="B573" s="73"/>
      <c r="C573" s="68"/>
      <c r="D573" s="69"/>
      <c r="E573" s="66"/>
      <c r="F573" s="66"/>
      <c r="G573" s="51"/>
      <c r="H573" s="2" t="s">
        <v>299</v>
      </c>
      <c r="I573" s="9">
        <v>669</v>
      </c>
      <c r="J573" s="11">
        <v>5</v>
      </c>
      <c r="K573" s="11">
        <v>2</v>
      </c>
      <c r="L573" s="57" t="s">
        <v>515</v>
      </c>
      <c r="M573" s="58" t="s">
        <v>220</v>
      </c>
      <c r="N573" s="58" t="s">
        <v>232</v>
      </c>
      <c r="O573" s="58" t="s">
        <v>518</v>
      </c>
      <c r="P573" s="3">
        <v>240</v>
      </c>
      <c r="Q573" s="126">
        <f>80+1000+100</f>
        <v>1180</v>
      </c>
      <c r="R573" s="126">
        <v>0</v>
      </c>
      <c r="S573" s="126">
        <v>0</v>
      </c>
    </row>
    <row r="574" spans="1:19" ht="31.5" hidden="1">
      <c r="A574" s="76"/>
      <c r="B574" s="73"/>
      <c r="C574" s="68"/>
      <c r="D574" s="69"/>
      <c r="E574" s="66"/>
      <c r="F574" s="66"/>
      <c r="G574" s="51"/>
      <c r="H574" s="304" t="s">
        <v>933</v>
      </c>
      <c r="I574" s="9">
        <v>669</v>
      </c>
      <c r="J574" s="11">
        <v>5</v>
      </c>
      <c r="K574" s="11">
        <v>2</v>
      </c>
      <c r="L574" s="57" t="s">
        <v>515</v>
      </c>
      <c r="M574" s="58" t="s">
        <v>220</v>
      </c>
      <c r="N574" s="58" t="s">
        <v>232</v>
      </c>
      <c r="O574" s="58" t="s">
        <v>931</v>
      </c>
      <c r="P574" s="3"/>
      <c r="Q574" s="126">
        <f>Q575</f>
        <v>0</v>
      </c>
      <c r="R574" s="126">
        <f>R575</f>
        <v>0</v>
      </c>
      <c r="S574" s="126">
        <f>S575</f>
        <v>0</v>
      </c>
    </row>
    <row r="575" spans="1:19" ht="18.75" hidden="1">
      <c r="A575" s="76"/>
      <c r="B575" s="73"/>
      <c r="C575" s="68"/>
      <c r="D575" s="69"/>
      <c r="E575" s="66"/>
      <c r="F575" s="66"/>
      <c r="G575" s="51"/>
      <c r="H575" s="2" t="s">
        <v>299</v>
      </c>
      <c r="I575" s="9">
        <v>669</v>
      </c>
      <c r="J575" s="11">
        <v>5</v>
      </c>
      <c r="K575" s="11">
        <v>2</v>
      </c>
      <c r="L575" s="57" t="s">
        <v>515</v>
      </c>
      <c r="M575" s="58" t="s">
        <v>220</v>
      </c>
      <c r="N575" s="58" t="s">
        <v>232</v>
      </c>
      <c r="O575" s="58" t="s">
        <v>931</v>
      </c>
      <c r="P575" s="3">
        <v>240</v>
      </c>
      <c r="Q575" s="126">
        <v>0</v>
      </c>
      <c r="R575" s="126">
        <v>0</v>
      </c>
      <c r="S575" s="126">
        <v>0</v>
      </c>
    </row>
    <row r="576" spans="1:19" ht="31.5">
      <c r="A576" s="76"/>
      <c r="B576" s="73"/>
      <c r="C576" s="68"/>
      <c r="D576" s="69"/>
      <c r="E576" s="66"/>
      <c r="F576" s="66"/>
      <c r="G576" s="51"/>
      <c r="H576" s="2" t="s">
        <v>977</v>
      </c>
      <c r="I576" s="9">
        <v>669</v>
      </c>
      <c r="J576" s="11">
        <v>5</v>
      </c>
      <c r="K576" s="11">
        <v>2</v>
      </c>
      <c r="L576" s="57" t="s">
        <v>515</v>
      </c>
      <c r="M576" s="58" t="s">
        <v>220</v>
      </c>
      <c r="N576" s="58" t="s">
        <v>232</v>
      </c>
      <c r="O576" s="58" t="s">
        <v>976</v>
      </c>
      <c r="P576" s="3"/>
      <c r="Q576" s="126">
        <f>Q577</f>
        <v>0</v>
      </c>
      <c r="R576" s="126">
        <f>R577</f>
        <v>5083.3</v>
      </c>
      <c r="S576" s="126">
        <f>S577</f>
        <v>0</v>
      </c>
    </row>
    <row r="577" spans="1:19" ht="18.75">
      <c r="A577" s="76"/>
      <c r="B577" s="73"/>
      <c r="C577" s="68"/>
      <c r="D577" s="69"/>
      <c r="E577" s="66"/>
      <c r="F577" s="66"/>
      <c r="G577" s="51"/>
      <c r="H577" s="2" t="s">
        <v>299</v>
      </c>
      <c r="I577" s="9">
        <v>669</v>
      </c>
      <c r="J577" s="11">
        <v>5</v>
      </c>
      <c r="K577" s="11">
        <v>2</v>
      </c>
      <c r="L577" s="57" t="s">
        <v>515</v>
      </c>
      <c r="M577" s="58" t="s">
        <v>220</v>
      </c>
      <c r="N577" s="58" t="s">
        <v>232</v>
      </c>
      <c r="O577" s="58" t="s">
        <v>976</v>
      </c>
      <c r="P577" s="3">
        <v>244</v>
      </c>
      <c r="Q577" s="126">
        <v>0</v>
      </c>
      <c r="R577" s="126">
        <v>5083.3</v>
      </c>
      <c r="S577" s="126">
        <v>0</v>
      </c>
    </row>
    <row r="578" spans="1:19" ht="18.75" hidden="1">
      <c r="A578" s="76"/>
      <c r="B578" s="73"/>
      <c r="C578" s="68"/>
      <c r="D578" s="69"/>
      <c r="E578" s="66"/>
      <c r="F578" s="66"/>
      <c r="G578" s="51"/>
      <c r="H578" s="303" t="s">
        <v>934</v>
      </c>
      <c r="I578" s="9">
        <v>669</v>
      </c>
      <c r="J578" s="11">
        <v>5</v>
      </c>
      <c r="K578" s="11">
        <v>2</v>
      </c>
      <c r="L578" s="57" t="s">
        <v>515</v>
      </c>
      <c r="M578" s="58" t="s">
        <v>220</v>
      </c>
      <c r="N578" s="58" t="s">
        <v>232</v>
      </c>
      <c r="O578" s="58" t="s">
        <v>932</v>
      </c>
      <c r="P578" s="3"/>
      <c r="Q578" s="126">
        <f>Q579</f>
        <v>0</v>
      </c>
      <c r="R578" s="126">
        <f>R579</f>
        <v>0</v>
      </c>
      <c r="S578" s="126">
        <f>S579</f>
        <v>0</v>
      </c>
    </row>
    <row r="579" spans="1:19" ht="18.75" hidden="1">
      <c r="A579" s="76"/>
      <c r="B579" s="73"/>
      <c r="C579" s="68"/>
      <c r="D579" s="69"/>
      <c r="E579" s="66"/>
      <c r="F579" s="66"/>
      <c r="G579" s="51"/>
      <c r="H579" s="2" t="s">
        <v>299</v>
      </c>
      <c r="I579" s="9">
        <v>669</v>
      </c>
      <c r="J579" s="11">
        <v>5</v>
      </c>
      <c r="K579" s="11">
        <v>2</v>
      </c>
      <c r="L579" s="57" t="s">
        <v>515</v>
      </c>
      <c r="M579" s="58" t="s">
        <v>220</v>
      </c>
      <c r="N579" s="58" t="s">
        <v>232</v>
      </c>
      <c r="O579" s="58" t="s">
        <v>932</v>
      </c>
      <c r="P579" s="3">
        <v>240</v>
      </c>
      <c r="Q579" s="126">
        <v>0</v>
      </c>
      <c r="R579" s="126">
        <v>0</v>
      </c>
      <c r="S579" s="126">
        <v>0</v>
      </c>
    </row>
    <row r="580" spans="1:19" ht="18.75" hidden="1">
      <c r="A580" s="76"/>
      <c r="B580" s="73"/>
      <c r="C580" s="68"/>
      <c r="D580" s="69"/>
      <c r="E580" s="66"/>
      <c r="F580" s="66"/>
      <c r="G580" s="51"/>
      <c r="H580" s="25" t="s">
        <v>561</v>
      </c>
      <c r="I580" s="9">
        <v>669</v>
      </c>
      <c r="J580" s="11">
        <v>5</v>
      </c>
      <c r="K580" s="11">
        <v>2</v>
      </c>
      <c r="L580" s="57" t="s">
        <v>515</v>
      </c>
      <c r="M580" s="58" t="s">
        <v>220</v>
      </c>
      <c r="N580" s="58" t="s">
        <v>223</v>
      </c>
      <c r="O580" s="58" t="s">
        <v>261</v>
      </c>
      <c r="P580" s="3"/>
      <c r="Q580" s="126">
        <f aca="true" t="shared" si="66" ref="Q580:S581">Q581</f>
        <v>0</v>
      </c>
      <c r="R580" s="126">
        <f t="shared" si="66"/>
        <v>0</v>
      </c>
      <c r="S580" s="126">
        <f t="shared" si="66"/>
        <v>0</v>
      </c>
    </row>
    <row r="581" spans="1:19" ht="18.75" hidden="1">
      <c r="A581" s="76"/>
      <c r="B581" s="73"/>
      <c r="C581" s="68"/>
      <c r="D581" s="69"/>
      <c r="E581" s="66"/>
      <c r="F581" s="66"/>
      <c r="G581" s="51"/>
      <c r="H581" s="25" t="s">
        <v>562</v>
      </c>
      <c r="I581" s="9">
        <v>669</v>
      </c>
      <c r="J581" s="11">
        <v>5</v>
      </c>
      <c r="K581" s="11">
        <v>2</v>
      </c>
      <c r="L581" s="57" t="s">
        <v>515</v>
      </c>
      <c r="M581" s="58" t="s">
        <v>220</v>
      </c>
      <c r="N581" s="58" t="s">
        <v>223</v>
      </c>
      <c r="O581" s="58" t="s">
        <v>519</v>
      </c>
      <c r="P581" s="3"/>
      <c r="Q581" s="126">
        <f t="shared" si="66"/>
        <v>0</v>
      </c>
      <c r="R581" s="126">
        <f t="shared" si="66"/>
        <v>0</v>
      </c>
      <c r="S581" s="126">
        <f t="shared" si="66"/>
        <v>0</v>
      </c>
    </row>
    <row r="582" spans="1:19" ht="18.75" hidden="1">
      <c r="A582" s="76"/>
      <c r="B582" s="73"/>
      <c r="C582" s="68"/>
      <c r="D582" s="69"/>
      <c r="E582" s="66"/>
      <c r="F582" s="66"/>
      <c r="G582" s="51"/>
      <c r="H582" s="2" t="s">
        <v>299</v>
      </c>
      <c r="I582" s="9">
        <v>669</v>
      </c>
      <c r="J582" s="11">
        <v>5</v>
      </c>
      <c r="K582" s="11">
        <v>2</v>
      </c>
      <c r="L582" s="57" t="s">
        <v>515</v>
      </c>
      <c r="M582" s="58" t="s">
        <v>220</v>
      </c>
      <c r="N582" s="58" t="s">
        <v>223</v>
      </c>
      <c r="O582" s="58" t="s">
        <v>519</v>
      </c>
      <c r="P582" s="3">
        <v>240</v>
      </c>
      <c r="Q582" s="126"/>
      <c r="R582" s="126"/>
      <c r="S582" s="126"/>
    </row>
    <row r="583" spans="1:19" ht="31.5" hidden="1">
      <c r="A583" s="76"/>
      <c r="B583" s="73"/>
      <c r="C583" s="68"/>
      <c r="D583" s="69"/>
      <c r="E583" s="66"/>
      <c r="F583" s="66"/>
      <c r="G583" s="51"/>
      <c r="H583" s="2" t="s">
        <v>879</v>
      </c>
      <c r="I583" s="9">
        <v>669</v>
      </c>
      <c r="J583" s="11">
        <v>5</v>
      </c>
      <c r="K583" s="11">
        <v>2</v>
      </c>
      <c r="L583" s="57" t="s">
        <v>515</v>
      </c>
      <c r="M583" s="58" t="s">
        <v>220</v>
      </c>
      <c r="N583" s="58" t="s">
        <v>230</v>
      </c>
      <c r="O583" s="58" t="s">
        <v>511</v>
      </c>
      <c r="P583" s="3"/>
      <c r="Q583" s="126">
        <f>Q585</f>
        <v>0</v>
      </c>
      <c r="R583" s="126">
        <v>0</v>
      </c>
      <c r="S583" s="126">
        <v>0</v>
      </c>
    </row>
    <row r="584" spans="1:19" ht="18.75" hidden="1">
      <c r="A584" s="76"/>
      <c r="B584" s="73"/>
      <c r="C584" s="68"/>
      <c r="D584" s="69"/>
      <c r="E584" s="66"/>
      <c r="F584" s="66"/>
      <c r="G584" s="51"/>
      <c r="H584" s="398" t="s">
        <v>1081</v>
      </c>
      <c r="I584" s="9">
        <v>669</v>
      </c>
      <c r="J584" s="11">
        <v>5</v>
      </c>
      <c r="K584" s="11">
        <v>2</v>
      </c>
      <c r="L584" s="57" t="s">
        <v>515</v>
      </c>
      <c r="M584" s="58" t="s">
        <v>220</v>
      </c>
      <c r="N584" s="58" t="s">
        <v>230</v>
      </c>
      <c r="O584" s="58" t="s">
        <v>518</v>
      </c>
      <c r="P584" s="3"/>
      <c r="Q584" s="126">
        <f>Q585</f>
        <v>0</v>
      </c>
      <c r="R584" s="126">
        <v>0</v>
      </c>
      <c r="S584" s="126">
        <v>0</v>
      </c>
    </row>
    <row r="585" spans="1:19" ht="18.75" hidden="1">
      <c r="A585" s="76"/>
      <c r="B585" s="73"/>
      <c r="C585" s="68"/>
      <c r="D585" s="69"/>
      <c r="E585" s="66"/>
      <c r="F585" s="66"/>
      <c r="G585" s="51"/>
      <c r="H585" s="2" t="s">
        <v>299</v>
      </c>
      <c r="I585" s="9">
        <v>669</v>
      </c>
      <c r="J585" s="11">
        <v>5</v>
      </c>
      <c r="K585" s="11">
        <v>2</v>
      </c>
      <c r="L585" s="57" t="s">
        <v>515</v>
      </c>
      <c r="M585" s="58" t="s">
        <v>220</v>
      </c>
      <c r="N585" s="58" t="s">
        <v>230</v>
      </c>
      <c r="O585" s="58" t="s">
        <v>518</v>
      </c>
      <c r="P585" s="3">
        <v>240</v>
      </c>
      <c r="Q585" s="126"/>
      <c r="R585" s="126"/>
      <c r="S585" s="126"/>
    </row>
    <row r="586" spans="1:19" s="113" customFormat="1" ht="19.5">
      <c r="A586" s="106"/>
      <c r="B586" s="224"/>
      <c r="C586" s="104"/>
      <c r="D586" s="91"/>
      <c r="E586" s="92"/>
      <c r="F586" s="92"/>
      <c r="G586" s="84"/>
      <c r="H586" s="222" t="s">
        <v>21</v>
      </c>
      <c r="I586" s="251">
        <v>669</v>
      </c>
      <c r="J586" s="86">
        <v>5</v>
      </c>
      <c r="K586" s="86">
        <v>3</v>
      </c>
      <c r="L586" s="87"/>
      <c r="M586" s="88"/>
      <c r="N586" s="88"/>
      <c r="O586" s="88"/>
      <c r="P586" s="93"/>
      <c r="Q586" s="127">
        <f>Q587+Q614+Q604</f>
        <v>47382.1</v>
      </c>
      <c r="R586" s="127">
        <f>R587+R614+R604</f>
        <v>10393.2</v>
      </c>
      <c r="S586" s="127">
        <f>S587+S614+S604</f>
        <v>9860.7</v>
      </c>
    </row>
    <row r="587" spans="1:19" ht="31.5">
      <c r="A587" s="61"/>
      <c r="B587" s="60"/>
      <c r="C587" s="65"/>
      <c r="D587" s="69"/>
      <c r="E587" s="112"/>
      <c r="F587" s="112"/>
      <c r="G587" s="51"/>
      <c r="H587" s="2" t="s">
        <v>546</v>
      </c>
      <c r="I587" s="9">
        <v>669</v>
      </c>
      <c r="J587" s="11">
        <v>5</v>
      </c>
      <c r="K587" s="11">
        <v>3</v>
      </c>
      <c r="L587" s="57" t="s">
        <v>241</v>
      </c>
      <c r="M587" s="58" t="s">
        <v>220</v>
      </c>
      <c r="N587" s="58" t="s">
        <v>229</v>
      </c>
      <c r="O587" s="58" t="s">
        <v>261</v>
      </c>
      <c r="P587" s="7"/>
      <c r="Q587" s="124">
        <f>Q588+Q601</f>
        <v>19064</v>
      </c>
      <c r="R587" s="124">
        <f>R588+R601</f>
        <v>630</v>
      </c>
      <c r="S587" s="124">
        <f>S588+S601</f>
        <v>620</v>
      </c>
    </row>
    <row r="588" spans="1:19" ht="18.75">
      <c r="A588" s="72"/>
      <c r="B588" s="73"/>
      <c r="C588" s="68"/>
      <c r="D588" s="69"/>
      <c r="E588" s="66"/>
      <c r="F588" s="66"/>
      <c r="G588" s="51"/>
      <c r="H588" s="22" t="s">
        <v>1093</v>
      </c>
      <c r="I588" s="9">
        <v>669</v>
      </c>
      <c r="J588" s="11">
        <v>5</v>
      </c>
      <c r="K588" s="11">
        <v>3</v>
      </c>
      <c r="L588" s="57" t="s">
        <v>241</v>
      </c>
      <c r="M588" s="58" t="s">
        <v>220</v>
      </c>
      <c r="N588" s="58" t="s">
        <v>345</v>
      </c>
      <c r="O588" s="58" t="s">
        <v>261</v>
      </c>
      <c r="P588" s="3"/>
      <c r="Q588" s="126">
        <f>Q589+Q597+Q591+Q593+Q595+Q599</f>
        <v>13706.199999999999</v>
      </c>
      <c r="R588" s="126">
        <f>R589+R597+R591+R593+R595+R599</f>
        <v>630</v>
      </c>
      <c r="S588" s="126">
        <f>S589+S597+S591+S593+S595+S599</f>
        <v>620</v>
      </c>
    </row>
    <row r="589" spans="1:19" ht="18.75">
      <c r="A589" s="72"/>
      <c r="B589" s="73"/>
      <c r="C589" s="68"/>
      <c r="D589" s="69"/>
      <c r="E589" s="66"/>
      <c r="F589" s="66"/>
      <c r="G589" s="51"/>
      <c r="H589" s="2" t="s">
        <v>565</v>
      </c>
      <c r="I589" s="9">
        <v>669</v>
      </c>
      <c r="J589" s="11">
        <v>5</v>
      </c>
      <c r="K589" s="11">
        <v>3</v>
      </c>
      <c r="L589" s="57" t="s">
        <v>241</v>
      </c>
      <c r="M589" s="58" t="s">
        <v>220</v>
      </c>
      <c r="N589" s="58" t="s">
        <v>345</v>
      </c>
      <c r="O589" s="58" t="s">
        <v>505</v>
      </c>
      <c r="P589" s="3"/>
      <c r="Q589" s="126">
        <f>Q590</f>
        <v>120</v>
      </c>
      <c r="R589" s="126">
        <f>R590</f>
        <v>130</v>
      </c>
      <c r="S589" s="126">
        <f>S590</f>
        <v>120</v>
      </c>
    </row>
    <row r="590" spans="1:19" ht="18.75">
      <c r="A590" s="72"/>
      <c r="B590" s="74"/>
      <c r="C590" s="68"/>
      <c r="D590" s="71"/>
      <c r="E590" s="66"/>
      <c r="F590" s="66"/>
      <c r="G590" s="51"/>
      <c r="H590" s="2" t="s">
        <v>299</v>
      </c>
      <c r="I590" s="9">
        <v>669</v>
      </c>
      <c r="J590" s="11">
        <v>5</v>
      </c>
      <c r="K590" s="11">
        <v>3</v>
      </c>
      <c r="L590" s="57" t="s">
        <v>241</v>
      </c>
      <c r="M590" s="58" t="s">
        <v>220</v>
      </c>
      <c r="N590" s="58" t="s">
        <v>345</v>
      </c>
      <c r="O590" s="58" t="s">
        <v>505</v>
      </c>
      <c r="P590" s="3">
        <v>240</v>
      </c>
      <c r="Q590" s="126">
        <v>120</v>
      </c>
      <c r="R590" s="126">
        <v>130</v>
      </c>
      <c r="S590" s="126">
        <v>120</v>
      </c>
    </row>
    <row r="591" spans="1:19" ht="18.75">
      <c r="A591" s="72"/>
      <c r="B591" s="74"/>
      <c r="C591" s="68"/>
      <c r="D591" s="71"/>
      <c r="E591" s="66"/>
      <c r="F591" s="66"/>
      <c r="G591" s="51"/>
      <c r="H591" s="108" t="s">
        <v>547</v>
      </c>
      <c r="I591" s="9">
        <v>669</v>
      </c>
      <c r="J591" s="11">
        <v>5</v>
      </c>
      <c r="K591" s="11">
        <v>3</v>
      </c>
      <c r="L591" s="57" t="s">
        <v>241</v>
      </c>
      <c r="M591" s="58" t="s">
        <v>220</v>
      </c>
      <c r="N591" s="58" t="s">
        <v>345</v>
      </c>
      <c r="O591" s="58" t="s">
        <v>346</v>
      </c>
      <c r="P591" s="3"/>
      <c r="Q591" s="126">
        <f>Q592</f>
        <v>8730.8</v>
      </c>
      <c r="R591" s="126">
        <f>R592</f>
        <v>0</v>
      </c>
      <c r="S591" s="126">
        <f>S592</f>
        <v>0</v>
      </c>
    </row>
    <row r="592" spans="1:19" ht="18.75">
      <c r="A592" s="72"/>
      <c r="B592" s="74"/>
      <c r="C592" s="68"/>
      <c r="D592" s="71"/>
      <c r="E592" s="66"/>
      <c r="F592" s="66"/>
      <c r="G592" s="51"/>
      <c r="H592" s="2" t="s">
        <v>299</v>
      </c>
      <c r="I592" s="9">
        <v>669</v>
      </c>
      <c r="J592" s="11">
        <v>5</v>
      </c>
      <c r="K592" s="11">
        <v>3</v>
      </c>
      <c r="L592" s="57" t="s">
        <v>241</v>
      </c>
      <c r="M592" s="58" t="s">
        <v>220</v>
      </c>
      <c r="N592" s="58" t="s">
        <v>345</v>
      </c>
      <c r="O592" s="58" t="s">
        <v>346</v>
      </c>
      <c r="P592" s="3">
        <v>240</v>
      </c>
      <c r="Q592" s="126">
        <f>6970.8+550+760+200+250</f>
        <v>8730.8</v>
      </c>
      <c r="R592" s="126">
        <v>0</v>
      </c>
      <c r="S592" s="126">
        <v>0</v>
      </c>
    </row>
    <row r="593" spans="1:19" ht="18.75" hidden="1">
      <c r="A593" s="72"/>
      <c r="B593" s="74"/>
      <c r="C593" s="68"/>
      <c r="D593" s="71"/>
      <c r="E593" s="66"/>
      <c r="F593" s="66"/>
      <c r="G593" s="51"/>
      <c r="H593" s="2" t="s">
        <v>569</v>
      </c>
      <c r="I593" s="9">
        <v>669</v>
      </c>
      <c r="J593" s="11">
        <v>5</v>
      </c>
      <c r="K593" s="11">
        <v>3</v>
      </c>
      <c r="L593" s="57" t="s">
        <v>241</v>
      </c>
      <c r="M593" s="58" t="s">
        <v>220</v>
      </c>
      <c r="N593" s="58" t="s">
        <v>345</v>
      </c>
      <c r="O593" s="58" t="s">
        <v>509</v>
      </c>
      <c r="P593" s="3"/>
      <c r="Q593" s="126">
        <f>Q594</f>
        <v>0</v>
      </c>
      <c r="R593" s="126">
        <f>R594</f>
        <v>0</v>
      </c>
      <c r="S593" s="126">
        <f>S594</f>
        <v>0</v>
      </c>
    </row>
    <row r="594" spans="1:19" ht="18.75" hidden="1">
      <c r="A594" s="72"/>
      <c r="B594" s="74"/>
      <c r="C594" s="68"/>
      <c r="D594" s="71"/>
      <c r="E594" s="66"/>
      <c r="F594" s="66"/>
      <c r="G594" s="51"/>
      <c r="H594" s="2" t="s">
        <v>299</v>
      </c>
      <c r="I594" s="9">
        <v>669</v>
      </c>
      <c r="J594" s="11">
        <v>5</v>
      </c>
      <c r="K594" s="11">
        <v>3</v>
      </c>
      <c r="L594" s="57" t="s">
        <v>241</v>
      </c>
      <c r="M594" s="58" t="s">
        <v>220</v>
      </c>
      <c r="N594" s="58" t="s">
        <v>345</v>
      </c>
      <c r="O594" s="58" t="s">
        <v>509</v>
      </c>
      <c r="P594" s="3">
        <v>240</v>
      </c>
      <c r="Q594" s="126"/>
      <c r="R594" s="126"/>
      <c r="S594" s="126"/>
    </row>
    <row r="595" spans="1:19" ht="18.75">
      <c r="A595" s="72"/>
      <c r="B595" s="74"/>
      <c r="C595" s="68"/>
      <c r="D595" s="71"/>
      <c r="E595" s="66"/>
      <c r="F595" s="66"/>
      <c r="G595" s="51"/>
      <c r="H595" s="2" t="s">
        <v>979</v>
      </c>
      <c r="I595" s="9">
        <v>669</v>
      </c>
      <c r="J595" s="11">
        <v>5</v>
      </c>
      <c r="K595" s="11">
        <v>3</v>
      </c>
      <c r="L595" s="57" t="s">
        <v>241</v>
      </c>
      <c r="M595" s="58" t="s">
        <v>220</v>
      </c>
      <c r="N595" s="58" t="s">
        <v>345</v>
      </c>
      <c r="O595" s="58" t="s">
        <v>980</v>
      </c>
      <c r="P595" s="3"/>
      <c r="Q595" s="126">
        <f>Q596</f>
        <v>4355.4</v>
      </c>
      <c r="R595" s="126">
        <f>R596</f>
        <v>0</v>
      </c>
      <c r="S595" s="126">
        <f>S596</f>
        <v>0</v>
      </c>
    </row>
    <row r="596" spans="1:19" ht="18.75">
      <c r="A596" s="72"/>
      <c r="B596" s="74"/>
      <c r="C596" s="68"/>
      <c r="D596" s="71"/>
      <c r="E596" s="66"/>
      <c r="F596" s="66"/>
      <c r="G596" s="51"/>
      <c r="H596" s="2" t="s">
        <v>299</v>
      </c>
      <c r="I596" s="9">
        <v>669</v>
      </c>
      <c r="J596" s="11">
        <v>5</v>
      </c>
      <c r="K596" s="11">
        <v>3</v>
      </c>
      <c r="L596" s="57" t="s">
        <v>241</v>
      </c>
      <c r="M596" s="58" t="s">
        <v>220</v>
      </c>
      <c r="N596" s="58" t="s">
        <v>345</v>
      </c>
      <c r="O596" s="58" t="s">
        <v>980</v>
      </c>
      <c r="P596" s="3">
        <v>240</v>
      </c>
      <c r="Q596" s="126">
        <f>4255.4+100</f>
        <v>4355.4</v>
      </c>
      <c r="R596" s="126">
        <v>0</v>
      </c>
      <c r="S596" s="126">
        <v>0</v>
      </c>
    </row>
    <row r="597" spans="1:19" ht="18.75">
      <c r="A597" s="61"/>
      <c r="B597" s="60"/>
      <c r="C597" s="65"/>
      <c r="D597" s="69"/>
      <c r="E597" s="112"/>
      <c r="F597" s="112"/>
      <c r="G597" s="51"/>
      <c r="H597" s="2" t="s">
        <v>566</v>
      </c>
      <c r="I597" s="9">
        <v>669</v>
      </c>
      <c r="J597" s="11">
        <v>5</v>
      </c>
      <c r="K597" s="11">
        <v>3</v>
      </c>
      <c r="L597" s="57" t="s">
        <v>241</v>
      </c>
      <c r="M597" s="58" t="s">
        <v>220</v>
      </c>
      <c r="N597" s="58" t="s">
        <v>345</v>
      </c>
      <c r="O597" s="58" t="s">
        <v>506</v>
      </c>
      <c r="P597" s="7"/>
      <c r="Q597" s="124">
        <f>Q598</f>
        <v>500</v>
      </c>
      <c r="R597" s="124">
        <f>R598</f>
        <v>500</v>
      </c>
      <c r="S597" s="124">
        <f>S598</f>
        <v>500</v>
      </c>
    </row>
    <row r="598" spans="1:19" ht="18.75">
      <c r="A598" s="72"/>
      <c r="B598" s="73"/>
      <c r="C598" s="68"/>
      <c r="D598" s="69"/>
      <c r="E598" s="66"/>
      <c r="F598" s="66"/>
      <c r="G598" s="51"/>
      <c r="H598" s="2" t="s">
        <v>299</v>
      </c>
      <c r="I598" s="9">
        <v>669</v>
      </c>
      <c r="J598" s="11">
        <v>5</v>
      </c>
      <c r="K598" s="11">
        <v>3</v>
      </c>
      <c r="L598" s="57" t="s">
        <v>241</v>
      </c>
      <c r="M598" s="58" t="s">
        <v>220</v>
      </c>
      <c r="N598" s="58" t="s">
        <v>345</v>
      </c>
      <c r="O598" s="58" t="s">
        <v>506</v>
      </c>
      <c r="P598" s="3">
        <v>240</v>
      </c>
      <c r="Q598" s="126">
        <v>500</v>
      </c>
      <c r="R598" s="126">
        <v>500</v>
      </c>
      <c r="S598" s="126">
        <v>500</v>
      </c>
    </row>
    <row r="599" spans="1:19" ht="18.75" hidden="1">
      <c r="A599" s="72"/>
      <c r="B599" s="73"/>
      <c r="C599" s="68"/>
      <c r="D599" s="69"/>
      <c r="E599" s="66"/>
      <c r="F599" s="66"/>
      <c r="G599" s="51"/>
      <c r="H599" s="2" t="s">
        <v>1018</v>
      </c>
      <c r="I599" s="9">
        <v>669</v>
      </c>
      <c r="J599" s="11">
        <v>5</v>
      </c>
      <c r="K599" s="11">
        <v>3</v>
      </c>
      <c r="L599" s="57" t="s">
        <v>241</v>
      </c>
      <c r="M599" s="58" t="s">
        <v>220</v>
      </c>
      <c r="N599" s="58" t="s">
        <v>345</v>
      </c>
      <c r="O599" s="58" t="s">
        <v>1017</v>
      </c>
      <c r="P599" s="3"/>
      <c r="Q599" s="126">
        <f>Q600</f>
        <v>0</v>
      </c>
      <c r="R599" s="126">
        <f>R600</f>
        <v>0</v>
      </c>
      <c r="S599" s="126">
        <f>S600</f>
        <v>0</v>
      </c>
    </row>
    <row r="600" spans="1:19" ht="18.75" hidden="1">
      <c r="A600" s="72"/>
      <c r="B600" s="73"/>
      <c r="C600" s="68"/>
      <c r="D600" s="69"/>
      <c r="E600" s="66"/>
      <c r="F600" s="66"/>
      <c r="G600" s="51"/>
      <c r="H600" s="2" t="s">
        <v>299</v>
      </c>
      <c r="I600" s="9">
        <v>669</v>
      </c>
      <c r="J600" s="11">
        <v>5</v>
      </c>
      <c r="K600" s="11">
        <v>3</v>
      </c>
      <c r="L600" s="57" t="s">
        <v>241</v>
      </c>
      <c r="M600" s="58" t="s">
        <v>220</v>
      </c>
      <c r="N600" s="58" t="s">
        <v>345</v>
      </c>
      <c r="O600" s="58" t="s">
        <v>1017</v>
      </c>
      <c r="P600" s="3">
        <v>240</v>
      </c>
      <c r="Q600" s="126">
        <f>5357.8-4822-535.8</f>
        <v>0</v>
      </c>
      <c r="R600" s="126">
        <v>0</v>
      </c>
      <c r="S600" s="126">
        <v>0</v>
      </c>
    </row>
    <row r="601" spans="1:19" ht="18.75">
      <c r="A601" s="72"/>
      <c r="B601" s="73"/>
      <c r="C601" s="68"/>
      <c r="D601" s="69"/>
      <c r="E601" s="66"/>
      <c r="F601" s="66"/>
      <c r="G601" s="51"/>
      <c r="H601" s="2" t="s">
        <v>1059</v>
      </c>
      <c r="I601" s="9">
        <v>669</v>
      </c>
      <c r="J601" s="11">
        <v>5</v>
      </c>
      <c r="K601" s="11">
        <v>3</v>
      </c>
      <c r="L601" s="57" t="s">
        <v>241</v>
      </c>
      <c r="M601" s="58" t="s">
        <v>220</v>
      </c>
      <c r="N601" s="58" t="s">
        <v>236</v>
      </c>
      <c r="O601" s="58" t="s">
        <v>261</v>
      </c>
      <c r="P601" s="3"/>
      <c r="Q601" s="126">
        <f aca="true" t="shared" si="67" ref="Q601:S602">Q602</f>
        <v>5357.8</v>
      </c>
      <c r="R601" s="126">
        <f t="shared" si="67"/>
        <v>0</v>
      </c>
      <c r="S601" s="126">
        <f t="shared" si="67"/>
        <v>0</v>
      </c>
    </row>
    <row r="602" spans="1:19" ht="18.75">
      <c r="A602" s="72"/>
      <c r="B602" s="73"/>
      <c r="C602" s="68"/>
      <c r="D602" s="69"/>
      <c r="E602" s="66"/>
      <c r="F602" s="66"/>
      <c r="G602" s="51"/>
      <c r="H602" s="2" t="s">
        <v>1018</v>
      </c>
      <c r="I602" s="9">
        <v>669</v>
      </c>
      <c r="J602" s="11">
        <v>5</v>
      </c>
      <c r="K602" s="11">
        <v>3</v>
      </c>
      <c r="L602" s="57" t="s">
        <v>241</v>
      </c>
      <c r="M602" s="58" t="s">
        <v>220</v>
      </c>
      <c r="N602" s="58" t="s">
        <v>236</v>
      </c>
      <c r="O602" s="58" t="s">
        <v>1060</v>
      </c>
      <c r="P602" s="3"/>
      <c r="Q602" s="126">
        <f t="shared" si="67"/>
        <v>5357.8</v>
      </c>
      <c r="R602" s="126">
        <f t="shared" si="67"/>
        <v>0</v>
      </c>
      <c r="S602" s="126">
        <f t="shared" si="67"/>
        <v>0</v>
      </c>
    </row>
    <row r="603" spans="1:19" ht="18.75">
      <c r="A603" s="72"/>
      <c r="B603" s="73"/>
      <c r="C603" s="68"/>
      <c r="D603" s="69"/>
      <c r="E603" s="66"/>
      <c r="F603" s="66"/>
      <c r="G603" s="51"/>
      <c r="H603" s="2" t="s">
        <v>299</v>
      </c>
      <c r="I603" s="9">
        <v>669</v>
      </c>
      <c r="J603" s="11">
        <v>5</v>
      </c>
      <c r="K603" s="11">
        <v>3</v>
      </c>
      <c r="L603" s="57" t="s">
        <v>241</v>
      </c>
      <c r="M603" s="58" t="s">
        <v>220</v>
      </c>
      <c r="N603" s="58" t="s">
        <v>236</v>
      </c>
      <c r="O603" s="58" t="s">
        <v>1060</v>
      </c>
      <c r="P603" s="3">
        <v>240</v>
      </c>
      <c r="Q603" s="126">
        <f>4822+535.8</f>
        <v>5357.8</v>
      </c>
      <c r="R603" s="126">
        <v>0</v>
      </c>
      <c r="S603" s="126">
        <v>0</v>
      </c>
    </row>
    <row r="604" spans="1:19" ht="31.5">
      <c r="A604" s="72"/>
      <c r="B604" s="73"/>
      <c r="C604" s="68"/>
      <c r="D604" s="69"/>
      <c r="E604" s="66"/>
      <c r="F604" s="66"/>
      <c r="G604" s="51"/>
      <c r="H604" s="2" t="s">
        <v>522</v>
      </c>
      <c r="I604" s="9">
        <v>669</v>
      </c>
      <c r="J604" s="11">
        <v>5</v>
      </c>
      <c r="K604" s="11">
        <v>3</v>
      </c>
      <c r="L604" s="57" t="s">
        <v>494</v>
      </c>
      <c r="M604" s="58" t="s">
        <v>220</v>
      </c>
      <c r="N604" s="58" t="s">
        <v>229</v>
      </c>
      <c r="O604" s="58" t="s">
        <v>261</v>
      </c>
      <c r="P604" s="3"/>
      <c r="Q604" s="126">
        <f>Q605</f>
        <v>7632.5</v>
      </c>
      <c r="R604" s="126">
        <f>R605</f>
        <v>600</v>
      </c>
      <c r="S604" s="126">
        <f>S605</f>
        <v>500</v>
      </c>
    </row>
    <row r="605" spans="1:19" ht="31.5">
      <c r="A605" s="72"/>
      <c r="B605" s="73"/>
      <c r="C605" s="68"/>
      <c r="D605" s="69"/>
      <c r="E605" s="66"/>
      <c r="F605" s="66"/>
      <c r="G605" s="51"/>
      <c r="H605" s="2" t="s">
        <v>894</v>
      </c>
      <c r="I605" s="9">
        <v>669</v>
      </c>
      <c r="J605" s="11">
        <v>5</v>
      </c>
      <c r="K605" s="11">
        <v>3</v>
      </c>
      <c r="L605" s="57" t="s">
        <v>494</v>
      </c>
      <c r="M605" s="58" t="s">
        <v>220</v>
      </c>
      <c r="N605" s="58" t="s">
        <v>236</v>
      </c>
      <c r="O605" s="58" t="s">
        <v>261</v>
      </c>
      <c r="P605" s="3"/>
      <c r="Q605" s="126">
        <f>Q608+Q610+Q606+Q612</f>
        <v>7632.5</v>
      </c>
      <c r="R605" s="126">
        <f>R608+R610+R606+R612</f>
        <v>600</v>
      </c>
      <c r="S605" s="126">
        <f>S608+S610+S606+S612</f>
        <v>500</v>
      </c>
    </row>
    <row r="606" spans="1:19" ht="18.75" hidden="1">
      <c r="A606" s="72"/>
      <c r="B606" s="73"/>
      <c r="C606" s="68"/>
      <c r="D606" s="69"/>
      <c r="E606" s="66"/>
      <c r="F606" s="66"/>
      <c r="G606" s="51"/>
      <c r="H606" s="2" t="s">
        <v>299</v>
      </c>
      <c r="I606" s="9">
        <v>669</v>
      </c>
      <c r="J606" s="11">
        <v>5</v>
      </c>
      <c r="K606" s="11">
        <v>3</v>
      </c>
      <c r="L606" s="57" t="s">
        <v>494</v>
      </c>
      <c r="M606" s="58" t="s">
        <v>220</v>
      </c>
      <c r="N606" s="58" t="s">
        <v>236</v>
      </c>
      <c r="O606" s="58" t="s">
        <v>264</v>
      </c>
      <c r="P606" s="3"/>
      <c r="Q606" s="126">
        <f>Q607</f>
        <v>0</v>
      </c>
      <c r="R606" s="126">
        <f>R607</f>
        <v>0</v>
      </c>
      <c r="S606" s="126">
        <f>S607</f>
        <v>0</v>
      </c>
    </row>
    <row r="607" spans="1:19" ht="18.75" hidden="1">
      <c r="A607" s="72"/>
      <c r="B607" s="73"/>
      <c r="C607" s="68"/>
      <c r="D607" s="69"/>
      <c r="E607" s="66"/>
      <c r="F607" s="66"/>
      <c r="G607" s="51"/>
      <c r="H607" s="2" t="s">
        <v>300</v>
      </c>
      <c r="I607" s="9">
        <v>669</v>
      </c>
      <c r="J607" s="11">
        <v>5</v>
      </c>
      <c r="K607" s="11">
        <v>3</v>
      </c>
      <c r="L607" s="57" t="s">
        <v>494</v>
      </c>
      <c r="M607" s="58" t="s">
        <v>220</v>
      </c>
      <c r="N607" s="58" t="s">
        <v>236</v>
      </c>
      <c r="O607" s="58" t="s">
        <v>264</v>
      </c>
      <c r="P607" s="3">
        <v>850</v>
      </c>
      <c r="Q607" s="126"/>
      <c r="R607" s="126"/>
      <c r="S607" s="126"/>
    </row>
    <row r="608" spans="1:19" ht="18.75">
      <c r="A608" s="72"/>
      <c r="B608" s="73"/>
      <c r="C608" s="68"/>
      <c r="D608" s="69"/>
      <c r="E608" s="66"/>
      <c r="F608" s="66"/>
      <c r="G608" s="51"/>
      <c r="H608" s="2" t="s">
        <v>62</v>
      </c>
      <c r="I608" s="9">
        <v>669</v>
      </c>
      <c r="J608" s="11">
        <v>5</v>
      </c>
      <c r="K608" s="11">
        <v>3</v>
      </c>
      <c r="L608" s="57" t="s">
        <v>494</v>
      </c>
      <c r="M608" s="58" t="s">
        <v>220</v>
      </c>
      <c r="N608" s="58" t="s">
        <v>236</v>
      </c>
      <c r="O608" s="58" t="s">
        <v>63</v>
      </c>
      <c r="P608" s="3"/>
      <c r="Q608" s="126">
        <f>Q609</f>
        <v>2332.5</v>
      </c>
      <c r="R608" s="126">
        <f>R609</f>
        <v>600</v>
      </c>
      <c r="S608" s="126">
        <f>S609</f>
        <v>500</v>
      </c>
    </row>
    <row r="609" spans="1:19" ht="18.75">
      <c r="A609" s="72"/>
      <c r="B609" s="73"/>
      <c r="C609" s="68"/>
      <c r="D609" s="69"/>
      <c r="E609" s="66"/>
      <c r="F609" s="66"/>
      <c r="G609" s="51"/>
      <c r="H609" s="2" t="s">
        <v>301</v>
      </c>
      <c r="I609" s="9">
        <v>669</v>
      </c>
      <c r="J609" s="11">
        <v>5</v>
      </c>
      <c r="K609" s="11">
        <v>3</v>
      </c>
      <c r="L609" s="57" t="s">
        <v>494</v>
      </c>
      <c r="M609" s="58" t="s">
        <v>220</v>
      </c>
      <c r="N609" s="58" t="s">
        <v>236</v>
      </c>
      <c r="O609" s="58" t="s">
        <v>63</v>
      </c>
      <c r="P609" s="3">
        <v>610</v>
      </c>
      <c r="Q609" s="126">
        <f>600+390+26.5+588+528+200</f>
        <v>2332.5</v>
      </c>
      <c r="R609" s="126">
        <v>600</v>
      </c>
      <c r="S609" s="126">
        <v>500</v>
      </c>
    </row>
    <row r="610" spans="1:19" ht="18.75" hidden="1">
      <c r="A610" s="72"/>
      <c r="B610" s="73"/>
      <c r="C610" s="68"/>
      <c r="D610" s="69"/>
      <c r="E610" s="66"/>
      <c r="F610" s="66"/>
      <c r="G610" s="51"/>
      <c r="H610" s="303" t="s">
        <v>462</v>
      </c>
      <c r="I610" s="9">
        <v>669</v>
      </c>
      <c r="J610" s="11">
        <v>5</v>
      </c>
      <c r="K610" s="11">
        <v>3</v>
      </c>
      <c r="L610" s="57" t="s">
        <v>494</v>
      </c>
      <c r="M610" s="58" t="s">
        <v>220</v>
      </c>
      <c r="N610" s="58" t="s">
        <v>236</v>
      </c>
      <c r="O610" s="58" t="s">
        <v>926</v>
      </c>
      <c r="P610" s="7"/>
      <c r="Q610" s="124">
        <f>Q611</f>
        <v>0</v>
      </c>
      <c r="R610" s="124">
        <f>R611</f>
        <v>0</v>
      </c>
      <c r="S610" s="124">
        <f>S611</f>
        <v>0</v>
      </c>
    </row>
    <row r="611" spans="1:19" ht="18.75" hidden="1">
      <c r="A611" s="72"/>
      <c r="B611" s="73"/>
      <c r="C611" s="68"/>
      <c r="D611" s="69"/>
      <c r="E611" s="66"/>
      <c r="F611" s="66"/>
      <c r="G611" s="51"/>
      <c r="H611" s="2" t="s">
        <v>299</v>
      </c>
      <c r="I611" s="9">
        <v>669</v>
      </c>
      <c r="J611" s="11">
        <v>5</v>
      </c>
      <c r="K611" s="11">
        <v>3</v>
      </c>
      <c r="L611" s="57" t="s">
        <v>494</v>
      </c>
      <c r="M611" s="58" t="s">
        <v>220</v>
      </c>
      <c r="N611" s="58" t="s">
        <v>236</v>
      </c>
      <c r="O611" s="58" t="s">
        <v>926</v>
      </c>
      <c r="P611" s="7">
        <v>240</v>
      </c>
      <c r="Q611" s="124">
        <f>1947.1-1947.1</f>
        <v>0</v>
      </c>
      <c r="R611" s="124">
        <v>0</v>
      </c>
      <c r="S611" s="124">
        <v>0</v>
      </c>
    </row>
    <row r="612" spans="1:19" ht="18.75">
      <c r="A612" s="72"/>
      <c r="B612" s="73"/>
      <c r="C612" s="68"/>
      <c r="D612" s="69"/>
      <c r="E612" s="66"/>
      <c r="F612" s="66"/>
      <c r="G612" s="51"/>
      <c r="H612" s="303" t="s">
        <v>462</v>
      </c>
      <c r="I612" s="9">
        <v>669</v>
      </c>
      <c r="J612" s="11">
        <v>5</v>
      </c>
      <c r="K612" s="11">
        <v>3</v>
      </c>
      <c r="L612" s="57" t="s">
        <v>494</v>
      </c>
      <c r="M612" s="58" t="s">
        <v>220</v>
      </c>
      <c r="N612" s="58" t="s">
        <v>236</v>
      </c>
      <c r="O612" s="58" t="s">
        <v>316</v>
      </c>
      <c r="P612" s="3"/>
      <c r="Q612" s="126">
        <f>Q613</f>
        <v>5300</v>
      </c>
      <c r="R612" s="126">
        <f>R613</f>
        <v>0</v>
      </c>
      <c r="S612" s="126">
        <f>S613</f>
        <v>0</v>
      </c>
    </row>
    <row r="613" spans="1:19" ht="18.75">
      <c r="A613" s="72"/>
      <c r="B613" s="73"/>
      <c r="C613" s="68"/>
      <c r="D613" s="69"/>
      <c r="E613" s="66"/>
      <c r="F613" s="66"/>
      <c r="G613" s="51"/>
      <c r="H613" s="2" t="s">
        <v>299</v>
      </c>
      <c r="I613" s="9">
        <v>669</v>
      </c>
      <c r="J613" s="11">
        <v>5</v>
      </c>
      <c r="K613" s="11">
        <v>3</v>
      </c>
      <c r="L613" s="57" t="s">
        <v>494</v>
      </c>
      <c r="M613" s="58" t="s">
        <v>220</v>
      </c>
      <c r="N613" s="58" t="s">
        <v>236</v>
      </c>
      <c r="O613" s="58" t="s">
        <v>316</v>
      </c>
      <c r="P613" s="3">
        <v>240</v>
      </c>
      <c r="Q613" s="126">
        <f>690+1610+900+2100</f>
        <v>5300</v>
      </c>
      <c r="R613" s="126">
        <v>0</v>
      </c>
      <c r="S613" s="126">
        <v>0</v>
      </c>
    </row>
    <row r="614" spans="1:19" ht="31.5">
      <c r="A614" s="72"/>
      <c r="B614" s="73"/>
      <c r="C614" s="68"/>
      <c r="D614" s="69"/>
      <c r="E614" s="66"/>
      <c r="F614" s="66"/>
      <c r="G614" s="51"/>
      <c r="H614" s="2" t="s">
        <v>567</v>
      </c>
      <c r="I614" s="9">
        <v>669</v>
      </c>
      <c r="J614" s="11">
        <v>5</v>
      </c>
      <c r="K614" s="11">
        <v>3</v>
      </c>
      <c r="L614" s="57" t="s">
        <v>507</v>
      </c>
      <c r="M614" s="58" t="s">
        <v>220</v>
      </c>
      <c r="N614" s="58" t="s">
        <v>229</v>
      </c>
      <c r="O614" s="58" t="s">
        <v>261</v>
      </c>
      <c r="P614" s="3"/>
      <c r="Q614" s="126">
        <f>Q623+Q631+Q628+Q615+Q618</f>
        <v>20685.6</v>
      </c>
      <c r="R614" s="126">
        <f>R623+R631+R628+R615+R618</f>
        <v>9163.2</v>
      </c>
      <c r="S614" s="126">
        <f>S623+S631+S628+S615+S618</f>
        <v>8740.7</v>
      </c>
    </row>
    <row r="615" spans="1:19" ht="31.5">
      <c r="A615" s="72"/>
      <c r="B615" s="73"/>
      <c r="C615" s="68"/>
      <c r="D615" s="69"/>
      <c r="E615" s="66"/>
      <c r="F615" s="66"/>
      <c r="G615" s="51"/>
      <c r="H615" s="2" t="s">
        <v>869</v>
      </c>
      <c r="I615" s="9">
        <v>669</v>
      </c>
      <c r="J615" s="11">
        <v>5</v>
      </c>
      <c r="K615" s="11">
        <v>3</v>
      </c>
      <c r="L615" s="57" t="s">
        <v>507</v>
      </c>
      <c r="M615" s="58" t="s">
        <v>220</v>
      </c>
      <c r="N615" s="58" t="s">
        <v>221</v>
      </c>
      <c r="O615" s="58" t="s">
        <v>511</v>
      </c>
      <c r="P615" s="3"/>
      <c r="Q615" s="126">
        <f>Q617</f>
        <v>0</v>
      </c>
      <c r="R615" s="126">
        <f>R617</f>
        <v>845</v>
      </c>
      <c r="S615" s="126">
        <f>S617</f>
        <v>422.5</v>
      </c>
    </row>
    <row r="616" spans="1:19" ht="18.75">
      <c r="A616" s="72"/>
      <c r="B616" s="73"/>
      <c r="C616" s="68"/>
      <c r="D616" s="69"/>
      <c r="E616" s="66"/>
      <c r="F616" s="66"/>
      <c r="G616" s="51"/>
      <c r="H616" s="2" t="s">
        <v>877</v>
      </c>
      <c r="I616" s="9">
        <v>669</v>
      </c>
      <c r="J616" s="11">
        <v>5</v>
      </c>
      <c r="K616" s="11">
        <v>3</v>
      </c>
      <c r="L616" s="57" t="s">
        <v>507</v>
      </c>
      <c r="M616" s="58" t="s">
        <v>220</v>
      </c>
      <c r="N616" s="58" t="s">
        <v>221</v>
      </c>
      <c r="O616" s="58" t="s">
        <v>873</v>
      </c>
      <c r="P616" s="3"/>
      <c r="Q616" s="126">
        <f>Q617</f>
        <v>0</v>
      </c>
      <c r="R616" s="126">
        <v>0</v>
      </c>
      <c r="S616" s="126">
        <v>0</v>
      </c>
    </row>
    <row r="617" spans="1:19" ht="18.75">
      <c r="A617" s="72"/>
      <c r="B617" s="73"/>
      <c r="C617" s="68"/>
      <c r="D617" s="69"/>
      <c r="E617" s="66"/>
      <c r="F617" s="66"/>
      <c r="G617" s="51"/>
      <c r="H617" s="2" t="s">
        <v>299</v>
      </c>
      <c r="I617" s="9">
        <v>669</v>
      </c>
      <c r="J617" s="11">
        <v>5</v>
      </c>
      <c r="K617" s="11">
        <v>3</v>
      </c>
      <c r="L617" s="57" t="s">
        <v>507</v>
      </c>
      <c r="M617" s="58" t="s">
        <v>220</v>
      </c>
      <c r="N617" s="58" t="s">
        <v>221</v>
      </c>
      <c r="O617" s="58" t="s">
        <v>873</v>
      </c>
      <c r="P617" s="3">
        <v>240</v>
      </c>
      <c r="Q617" s="126">
        <f>422.5-422.5</f>
        <v>0</v>
      </c>
      <c r="R617" s="126">
        <v>845</v>
      </c>
      <c r="S617" s="126">
        <v>422.5</v>
      </c>
    </row>
    <row r="618" spans="1:19" ht="18.75">
      <c r="A618" s="72"/>
      <c r="B618" s="73"/>
      <c r="C618" s="68"/>
      <c r="D618" s="69"/>
      <c r="E618" s="66"/>
      <c r="F618" s="66"/>
      <c r="G618" s="51"/>
      <c r="H618" s="2" t="s">
        <v>961</v>
      </c>
      <c r="I618" s="9">
        <v>669</v>
      </c>
      <c r="J618" s="11">
        <v>5</v>
      </c>
      <c r="K618" s="11">
        <v>3</v>
      </c>
      <c r="L618" s="57" t="s">
        <v>507</v>
      </c>
      <c r="M618" s="58" t="s">
        <v>220</v>
      </c>
      <c r="N618" s="58" t="s">
        <v>236</v>
      </c>
      <c r="O618" s="58" t="s">
        <v>261</v>
      </c>
      <c r="P618" s="3"/>
      <c r="Q618" s="126">
        <f>Q619+Q621</f>
        <v>7622.7</v>
      </c>
      <c r="R618" s="126">
        <f>R619+R621</f>
        <v>433</v>
      </c>
      <c r="S618" s="126">
        <f>S619+S621</f>
        <v>433</v>
      </c>
    </row>
    <row r="619" spans="1:19" ht="18.75">
      <c r="A619" s="72"/>
      <c r="B619" s="73"/>
      <c r="C619" s="68"/>
      <c r="D619" s="69"/>
      <c r="E619" s="66"/>
      <c r="F619" s="66"/>
      <c r="G619" s="51"/>
      <c r="H619" s="2" t="s">
        <v>877</v>
      </c>
      <c r="I619" s="9">
        <v>669</v>
      </c>
      <c r="J619" s="11">
        <v>5</v>
      </c>
      <c r="K619" s="11">
        <v>3</v>
      </c>
      <c r="L619" s="57" t="s">
        <v>507</v>
      </c>
      <c r="M619" s="58" t="s">
        <v>220</v>
      </c>
      <c r="N619" s="58" t="s">
        <v>236</v>
      </c>
      <c r="O619" s="58" t="s">
        <v>873</v>
      </c>
      <c r="P619" s="3"/>
      <c r="Q619" s="126">
        <f>Q620</f>
        <v>0</v>
      </c>
      <c r="R619" s="126">
        <f>R620</f>
        <v>433</v>
      </c>
      <c r="S619" s="126">
        <f>S620</f>
        <v>433</v>
      </c>
    </row>
    <row r="620" spans="1:19" ht="18.75">
      <c r="A620" s="72"/>
      <c r="B620" s="73"/>
      <c r="C620" s="68"/>
      <c r="D620" s="69"/>
      <c r="E620" s="66"/>
      <c r="F620" s="66"/>
      <c r="G620" s="51"/>
      <c r="H620" s="2" t="s">
        <v>299</v>
      </c>
      <c r="I620" s="9">
        <v>669</v>
      </c>
      <c r="J620" s="11">
        <v>5</v>
      </c>
      <c r="K620" s="11">
        <v>3</v>
      </c>
      <c r="L620" s="57" t="s">
        <v>507</v>
      </c>
      <c r="M620" s="58" t="s">
        <v>220</v>
      </c>
      <c r="N620" s="58" t="s">
        <v>236</v>
      </c>
      <c r="O620" s="58" t="s">
        <v>873</v>
      </c>
      <c r="P620" s="3">
        <v>240</v>
      </c>
      <c r="Q620" s="126">
        <f>4400-4400</f>
        <v>0</v>
      </c>
      <c r="R620" s="126">
        <v>433</v>
      </c>
      <c r="S620" s="126">
        <v>433</v>
      </c>
    </row>
    <row r="621" spans="1:19" ht="18.75">
      <c r="A621" s="72"/>
      <c r="B621" s="73"/>
      <c r="C621" s="68"/>
      <c r="D621" s="69"/>
      <c r="E621" s="66"/>
      <c r="F621" s="66"/>
      <c r="G621" s="51"/>
      <c r="H621" s="2" t="s">
        <v>1077</v>
      </c>
      <c r="I621" s="9">
        <v>669</v>
      </c>
      <c r="J621" s="11">
        <v>5</v>
      </c>
      <c r="K621" s="11">
        <v>3</v>
      </c>
      <c r="L621" s="57" t="s">
        <v>507</v>
      </c>
      <c r="M621" s="58" t="s">
        <v>220</v>
      </c>
      <c r="N621" s="58" t="s">
        <v>236</v>
      </c>
      <c r="O621" s="58" t="s">
        <v>1056</v>
      </c>
      <c r="P621" s="3"/>
      <c r="Q621" s="126">
        <f>Q622</f>
        <v>7622.7</v>
      </c>
      <c r="R621" s="126">
        <f>R622</f>
        <v>0</v>
      </c>
      <c r="S621" s="126">
        <f>S622</f>
        <v>0</v>
      </c>
    </row>
    <row r="622" spans="1:19" ht="18.75">
      <c r="A622" s="72"/>
      <c r="B622" s="73"/>
      <c r="C622" s="68"/>
      <c r="D622" s="69"/>
      <c r="E622" s="66"/>
      <c r="F622" s="66"/>
      <c r="G622" s="51"/>
      <c r="H622" s="2" t="s">
        <v>299</v>
      </c>
      <c r="I622" s="9">
        <v>669</v>
      </c>
      <c r="J622" s="11">
        <v>5</v>
      </c>
      <c r="K622" s="11">
        <v>3</v>
      </c>
      <c r="L622" s="57" t="s">
        <v>507</v>
      </c>
      <c r="M622" s="58" t="s">
        <v>220</v>
      </c>
      <c r="N622" s="58" t="s">
        <v>236</v>
      </c>
      <c r="O622" s="58" t="s">
        <v>1056</v>
      </c>
      <c r="P622" s="3">
        <v>240</v>
      </c>
      <c r="Q622" s="126">
        <f>7200+200+222.7</f>
        <v>7622.7</v>
      </c>
      <c r="R622" s="126">
        <v>0</v>
      </c>
      <c r="S622" s="126">
        <v>0</v>
      </c>
    </row>
    <row r="623" spans="1:19" ht="18.75">
      <c r="A623" s="72"/>
      <c r="B623" s="74"/>
      <c r="C623" s="68"/>
      <c r="D623" s="71"/>
      <c r="E623" s="66"/>
      <c r="F623" s="66"/>
      <c r="G623" s="51"/>
      <c r="H623" s="2" t="s">
        <v>1092</v>
      </c>
      <c r="I623" s="9">
        <v>669</v>
      </c>
      <c r="J623" s="11">
        <v>5</v>
      </c>
      <c r="K623" s="11">
        <v>3</v>
      </c>
      <c r="L623" s="57" t="s">
        <v>507</v>
      </c>
      <c r="M623" s="58" t="s">
        <v>220</v>
      </c>
      <c r="N623" s="58" t="s">
        <v>237</v>
      </c>
      <c r="O623" s="58" t="s">
        <v>261</v>
      </c>
      <c r="P623" s="3"/>
      <c r="Q623" s="126">
        <f>Q624+Q626</f>
        <v>9640.9</v>
      </c>
      <c r="R623" s="126">
        <f>R624+R626</f>
        <v>7885.2</v>
      </c>
      <c r="S623" s="126">
        <f>S624+S626</f>
        <v>7885.2</v>
      </c>
    </row>
    <row r="624" spans="1:19" ht="18.75">
      <c r="A624" s="72"/>
      <c r="B624" s="73"/>
      <c r="C624" s="68"/>
      <c r="D624" s="69"/>
      <c r="E624" s="66"/>
      <c r="F624" s="66"/>
      <c r="G624" s="51"/>
      <c r="H624" s="2" t="s">
        <v>568</v>
      </c>
      <c r="I624" s="9">
        <v>669</v>
      </c>
      <c r="J624" s="11">
        <v>5</v>
      </c>
      <c r="K624" s="11">
        <v>3</v>
      </c>
      <c r="L624" s="57" t="s">
        <v>507</v>
      </c>
      <c r="M624" s="58" t="s">
        <v>220</v>
      </c>
      <c r="N624" s="58" t="s">
        <v>237</v>
      </c>
      <c r="O624" s="58" t="s">
        <v>508</v>
      </c>
      <c r="P624" s="3"/>
      <c r="Q624" s="126">
        <f>Q625</f>
        <v>7885.2</v>
      </c>
      <c r="R624" s="126">
        <f>R625</f>
        <v>7885.2</v>
      </c>
      <c r="S624" s="126">
        <f>S625</f>
        <v>7885.2</v>
      </c>
    </row>
    <row r="625" spans="1:19" ht="18.75">
      <c r="A625" s="72"/>
      <c r="B625" s="74"/>
      <c r="C625" s="68"/>
      <c r="D625" s="71"/>
      <c r="E625" s="66"/>
      <c r="F625" s="66"/>
      <c r="G625" s="51"/>
      <c r="H625" s="2" t="s">
        <v>299</v>
      </c>
      <c r="I625" s="9">
        <v>669</v>
      </c>
      <c r="J625" s="11">
        <v>5</v>
      </c>
      <c r="K625" s="11">
        <v>3</v>
      </c>
      <c r="L625" s="57" t="s">
        <v>507</v>
      </c>
      <c r="M625" s="58" t="s">
        <v>220</v>
      </c>
      <c r="N625" s="58" t="s">
        <v>237</v>
      </c>
      <c r="O625" s="58" t="s">
        <v>508</v>
      </c>
      <c r="P625" s="3">
        <v>240</v>
      </c>
      <c r="Q625" s="126">
        <v>7885.2</v>
      </c>
      <c r="R625" s="126">
        <v>7885.2</v>
      </c>
      <c r="S625" s="126">
        <v>7885.2</v>
      </c>
    </row>
    <row r="626" spans="1:19" ht="18.75">
      <c r="A626" s="72"/>
      <c r="B626" s="74"/>
      <c r="C626" s="68"/>
      <c r="D626" s="71"/>
      <c r="E626" s="66"/>
      <c r="F626" s="66"/>
      <c r="G626" s="51"/>
      <c r="H626" s="2" t="s">
        <v>1062</v>
      </c>
      <c r="I626" s="9">
        <v>669</v>
      </c>
      <c r="J626" s="11">
        <v>5</v>
      </c>
      <c r="K626" s="11">
        <v>3</v>
      </c>
      <c r="L626" s="57" t="s">
        <v>507</v>
      </c>
      <c r="M626" s="58" t="s">
        <v>220</v>
      </c>
      <c r="N626" s="58" t="s">
        <v>237</v>
      </c>
      <c r="O626" s="58" t="s">
        <v>1061</v>
      </c>
      <c r="P626" s="3"/>
      <c r="Q626" s="126">
        <f>Q627</f>
        <v>1755.6999999999998</v>
      </c>
      <c r="R626" s="126">
        <f>R627</f>
        <v>0</v>
      </c>
      <c r="S626" s="126">
        <f>S627</f>
        <v>0</v>
      </c>
    </row>
    <row r="627" spans="1:19" ht="18.75">
      <c r="A627" s="72"/>
      <c r="B627" s="74"/>
      <c r="C627" s="68"/>
      <c r="D627" s="71"/>
      <c r="E627" s="66"/>
      <c r="F627" s="66"/>
      <c r="G627" s="51"/>
      <c r="H627" s="2" t="s">
        <v>299</v>
      </c>
      <c r="I627" s="9">
        <v>669</v>
      </c>
      <c r="J627" s="11">
        <v>5</v>
      </c>
      <c r="K627" s="11">
        <v>3</v>
      </c>
      <c r="L627" s="57" t="s">
        <v>507</v>
      </c>
      <c r="M627" s="58" t="s">
        <v>220</v>
      </c>
      <c r="N627" s="58" t="s">
        <v>237</v>
      </c>
      <c r="O627" s="58" t="s">
        <v>1061</v>
      </c>
      <c r="P627" s="3">
        <v>240</v>
      </c>
      <c r="Q627" s="126">
        <f>1058.6+50+32.7+614.4</f>
        <v>1755.6999999999998</v>
      </c>
      <c r="R627" s="126">
        <v>0</v>
      </c>
      <c r="S627" s="126">
        <v>0</v>
      </c>
    </row>
    <row r="628" spans="1:19" ht="18.75">
      <c r="A628" s="72"/>
      <c r="B628" s="74"/>
      <c r="C628" s="68"/>
      <c r="D628" s="71"/>
      <c r="E628" s="66"/>
      <c r="F628" s="66"/>
      <c r="G628" s="51"/>
      <c r="H628" s="2" t="s">
        <v>876</v>
      </c>
      <c r="I628" s="9">
        <v>669</v>
      </c>
      <c r="J628" s="11">
        <v>5</v>
      </c>
      <c r="K628" s="11">
        <v>3</v>
      </c>
      <c r="L628" s="57" t="s">
        <v>507</v>
      </c>
      <c r="M628" s="58" t="s">
        <v>220</v>
      </c>
      <c r="N628" s="58" t="s">
        <v>223</v>
      </c>
      <c r="O628" s="58" t="s">
        <v>261</v>
      </c>
      <c r="P628" s="3"/>
      <c r="Q628" s="126">
        <f>Q630</f>
        <v>3422</v>
      </c>
      <c r="R628" s="126">
        <f>R630</f>
        <v>0</v>
      </c>
      <c r="S628" s="126">
        <f>S630</f>
        <v>0</v>
      </c>
    </row>
    <row r="629" spans="1:19" ht="18.75">
      <c r="A629" s="72"/>
      <c r="B629" s="74"/>
      <c r="C629" s="68"/>
      <c r="D629" s="71"/>
      <c r="E629" s="66"/>
      <c r="F629" s="66"/>
      <c r="G629" s="51"/>
      <c r="H629" s="2" t="s">
        <v>877</v>
      </c>
      <c r="I629" s="9">
        <v>669</v>
      </c>
      <c r="J629" s="11">
        <v>5</v>
      </c>
      <c r="K629" s="11">
        <v>3</v>
      </c>
      <c r="L629" s="57" t="s">
        <v>507</v>
      </c>
      <c r="M629" s="58" t="s">
        <v>220</v>
      </c>
      <c r="N629" s="58" t="s">
        <v>223</v>
      </c>
      <c r="O629" s="58" t="s">
        <v>873</v>
      </c>
      <c r="P629" s="3"/>
      <c r="Q629" s="126">
        <f>Q630</f>
        <v>3422</v>
      </c>
      <c r="R629" s="126">
        <v>0</v>
      </c>
      <c r="S629" s="126">
        <v>0</v>
      </c>
    </row>
    <row r="630" spans="1:19" ht="18.75">
      <c r="A630" s="72"/>
      <c r="B630" s="74"/>
      <c r="C630" s="68"/>
      <c r="D630" s="71"/>
      <c r="E630" s="66"/>
      <c r="F630" s="66"/>
      <c r="G630" s="51"/>
      <c r="H630" s="2" t="s">
        <v>299</v>
      </c>
      <c r="I630" s="9">
        <v>669</v>
      </c>
      <c r="J630" s="11">
        <v>5</v>
      </c>
      <c r="K630" s="11">
        <v>3</v>
      </c>
      <c r="L630" s="57" t="s">
        <v>507</v>
      </c>
      <c r="M630" s="58" t="s">
        <v>220</v>
      </c>
      <c r="N630" s="58" t="s">
        <v>223</v>
      </c>
      <c r="O630" s="58" t="s">
        <v>873</v>
      </c>
      <c r="P630" s="3">
        <v>240</v>
      </c>
      <c r="Q630" s="126">
        <v>3422</v>
      </c>
      <c r="R630" s="126">
        <v>0</v>
      </c>
      <c r="S630" s="126">
        <v>0</v>
      </c>
    </row>
    <row r="631" spans="1:19" ht="18.75" hidden="1">
      <c r="A631" s="72"/>
      <c r="B631" s="73"/>
      <c r="C631" s="68"/>
      <c r="D631" s="69"/>
      <c r="E631" s="66"/>
      <c r="F631" s="66"/>
      <c r="G631" s="51"/>
      <c r="H631" s="2" t="s">
        <v>569</v>
      </c>
      <c r="I631" s="9">
        <v>669</v>
      </c>
      <c r="J631" s="11">
        <v>5</v>
      </c>
      <c r="K631" s="11">
        <v>3</v>
      </c>
      <c r="L631" s="57" t="s">
        <v>507</v>
      </c>
      <c r="M631" s="58" t="s">
        <v>220</v>
      </c>
      <c r="N631" s="58" t="s">
        <v>345</v>
      </c>
      <c r="O631" s="58" t="s">
        <v>509</v>
      </c>
      <c r="P631" s="3"/>
      <c r="Q631" s="126">
        <f>Q632</f>
        <v>0</v>
      </c>
      <c r="R631" s="126">
        <f>R632</f>
        <v>0</v>
      </c>
      <c r="S631" s="126">
        <f>S632</f>
        <v>0</v>
      </c>
    </row>
    <row r="632" spans="1:19" ht="18.75" hidden="1">
      <c r="A632" s="72"/>
      <c r="B632" s="74"/>
      <c r="C632" s="68"/>
      <c r="D632" s="71"/>
      <c r="E632" s="66"/>
      <c r="F632" s="66"/>
      <c r="G632" s="51"/>
      <c r="H632" s="2" t="s">
        <v>299</v>
      </c>
      <c r="I632" s="9">
        <v>669</v>
      </c>
      <c r="J632" s="11">
        <v>5</v>
      </c>
      <c r="K632" s="11">
        <v>3</v>
      </c>
      <c r="L632" s="57" t="s">
        <v>507</v>
      </c>
      <c r="M632" s="58" t="s">
        <v>220</v>
      </c>
      <c r="N632" s="58" t="s">
        <v>345</v>
      </c>
      <c r="O632" s="58" t="s">
        <v>509</v>
      </c>
      <c r="P632" s="3">
        <v>240</v>
      </c>
      <c r="Q632" s="126">
        <v>0</v>
      </c>
      <c r="R632" s="126">
        <v>0</v>
      </c>
      <c r="S632" s="126">
        <v>0</v>
      </c>
    </row>
    <row r="633" spans="1:19" s="113" customFormat="1" ht="19.5">
      <c r="A633" s="106"/>
      <c r="B633" s="224"/>
      <c r="C633" s="104"/>
      <c r="D633" s="91"/>
      <c r="E633" s="92"/>
      <c r="F633" s="92"/>
      <c r="G633" s="84"/>
      <c r="H633" s="354" t="s">
        <v>263</v>
      </c>
      <c r="I633" s="251">
        <v>669</v>
      </c>
      <c r="J633" s="86">
        <v>5</v>
      </c>
      <c r="K633" s="86">
        <v>5</v>
      </c>
      <c r="L633" s="87"/>
      <c r="M633" s="88"/>
      <c r="N633" s="88"/>
      <c r="O633" s="88"/>
      <c r="P633" s="93"/>
      <c r="Q633" s="127">
        <f>Q634+Q644</f>
        <v>15249.100000000002</v>
      </c>
      <c r="R633" s="127">
        <f>R634+R644</f>
        <v>12362</v>
      </c>
      <c r="S633" s="127">
        <f>S634+S644</f>
        <v>12362</v>
      </c>
    </row>
    <row r="634" spans="1:19" ht="31.5">
      <c r="A634" s="72"/>
      <c r="B634" s="73"/>
      <c r="C634" s="68"/>
      <c r="D634" s="69"/>
      <c r="E634" s="66"/>
      <c r="F634" s="66"/>
      <c r="G634" s="51"/>
      <c r="H634" s="2" t="s">
        <v>522</v>
      </c>
      <c r="I634" s="9">
        <v>669</v>
      </c>
      <c r="J634" s="11">
        <v>5</v>
      </c>
      <c r="K634" s="11">
        <v>5</v>
      </c>
      <c r="L634" s="57" t="s">
        <v>494</v>
      </c>
      <c r="M634" s="58" t="s">
        <v>220</v>
      </c>
      <c r="N634" s="58" t="s">
        <v>229</v>
      </c>
      <c r="O634" s="58" t="s">
        <v>261</v>
      </c>
      <c r="P634" s="3"/>
      <c r="Q634" s="126">
        <f>Q635</f>
        <v>13343.600000000002</v>
      </c>
      <c r="R634" s="126">
        <f>R635</f>
        <v>10662</v>
      </c>
      <c r="S634" s="126">
        <f>S635</f>
        <v>10662</v>
      </c>
    </row>
    <row r="635" spans="1:19" ht="31.5">
      <c r="A635" s="72"/>
      <c r="B635" s="74"/>
      <c r="C635" s="68"/>
      <c r="D635" s="71"/>
      <c r="E635" s="66"/>
      <c r="F635" s="66"/>
      <c r="G635" s="51"/>
      <c r="H635" s="2" t="s">
        <v>899</v>
      </c>
      <c r="I635" s="9">
        <v>669</v>
      </c>
      <c r="J635" s="11">
        <v>5</v>
      </c>
      <c r="K635" s="11">
        <v>5</v>
      </c>
      <c r="L635" s="57" t="s">
        <v>494</v>
      </c>
      <c r="M635" s="58" t="s">
        <v>220</v>
      </c>
      <c r="N635" s="58" t="s">
        <v>236</v>
      </c>
      <c r="O635" s="58" t="s">
        <v>261</v>
      </c>
      <c r="P635" s="3"/>
      <c r="Q635" s="126">
        <f>Q636+Q642+Q638+Q640</f>
        <v>13343.600000000002</v>
      </c>
      <c r="R635" s="126">
        <f>R636+R642+R638+R640</f>
        <v>10662</v>
      </c>
      <c r="S635" s="126">
        <f>S636+S642+S638+S640</f>
        <v>10662</v>
      </c>
    </row>
    <row r="636" spans="1:19" ht="18.75">
      <c r="A636" s="72"/>
      <c r="B636" s="73"/>
      <c r="C636" s="68"/>
      <c r="D636" s="69"/>
      <c r="E636" s="66"/>
      <c r="F636" s="66"/>
      <c r="G636" s="51"/>
      <c r="H636" s="2" t="s">
        <v>62</v>
      </c>
      <c r="I636" s="9">
        <v>669</v>
      </c>
      <c r="J636" s="11">
        <v>5</v>
      </c>
      <c r="K636" s="11">
        <v>5</v>
      </c>
      <c r="L636" s="57" t="s">
        <v>494</v>
      </c>
      <c r="M636" s="58" t="s">
        <v>220</v>
      </c>
      <c r="N636" s="58" t="s">
        <v>236</v>
      </c>
      <c r="O636" s="58" t="s">
        <v>63</v>
      </c>
      <c r="P636" s="3"/>
      <c r="Q636" s="126">
        <f>Q637</f>
        <v>9975.900000000001</v>
      </c>
      <c r="R636" s="126">
        <f>R637</f>
        <v>8179.3</v>
      </c>
      <c r="S636" s="126">
        <f>S637</f>
        <v>8179.3</v>
      </c>
    </row>
    <row r="637" spans="1:19" ht="18.75">
      <c r="A637" s="72"/>
      <c r="B637" s="74"/>
      <c r="C637" s="68"/>
      <c r="D637" s="71"/>
      <c r="E637" s="66"/>
      <c r="F637" s="66"/>
      <c r="G637" s="51"/>
      <c r="H637" s="2" t="s">
        <v>301</v>
      </c>
      <c r="I637" s="9">
        <v>669</v>
      </c>
      <c r="J637" s="11">
        <v>5</v>
      </c>
      <c r="K637" s="11">
        <v>5</v>
      </c>
      <c r="L637" s="57" t="s">
        <v>494</v>
      </c>
      <c r="M637" s="58" t="s">
        <v>220</v>
      </c>
      <c r="N637" s="58" t="s">
        <v>236</v>
      </c>
      <c r="O637" s="58" t="s">
        <v>63</v>
      </c>
      <c r="P637" s="3">
        <v>610</v>
      </c>
      <c r="Q637" s="126">
        <f>8109.3+1103.7+316.7+518.2-115-528+571</f>
        <v>9975.900000000001</v>
      </c>
      <c r="R637" s="126">
        <v>8179.3</v>
      </c>
      <c r="S637" s="126">
        <v>8179.3</v>
      </c>
    </row>
    <row r="638" spans="1:19" ht="18.75">
      <c r="A638" s="72"/>
      <c r="B638" s="74"/>
      <c r="C638" s="76"/>
      <c r="D638" s="71"/>
      <c r="E638" s="66"/>
      <c r="F638" s="66"/>
      <c r="G638" s="51"/>
      <c r="H638" s="2" t="s">
        <v>11</v>
      </c>
      <c r="I638" s="9">
        <v>669</v>
      </c>
      <c r="J638" s="11">
        <v>5</v>
      </c>
      <c r="K638" s="11">
        <v>5</v>
      </c>
      <c r="L638" s="57" t="s">
        <v>494</v>
      </c>
      <c r="M638" s="58" t="s">
        <v>220</v>
      </c>
      <c r="N638" s="58" t="s">
        <v>236</v>
      </c>
      <c r="O638" s="58" t="s">
        <v>70</v>
      </c>
      <c r="P638" s="3"/>
      <c r="Q638" s="126">
        <f>Q639</f>
        <v>850</v>
      </c>
      <c r="R638" s="126">
        <f>R639</f>
        <v>450</v>
      </c>
      <c r="S638" s="126">
        <f>S639</f>
        <v>450</v>
      </c>
    </row>
    <row r="639" spans="1:19" ht="18.75">
      <c r="A639" s="72"/>
      <c r="B639" s="74"/>
      <c r="C639" s="76"/>
      <c r="D639" s="71"/>
      <c r="E639" s="66"/>
      <c r="F639" s="66"/>
      <c r="G639" s="51"/>
      <c r="H639" s="2" t="s">
        <v>299</v>
      </c>
      <c r="I639" s="9">
        <v>669</v>
      </c>
      <c r="J639" s="11">
        <v>5</v>
      </c>
      <c r="K639" s="11">
        <v>5</v>
      </c>
      <c r="L639" s="57" t="s">
        <v>494</v>
      </c>
      <c r="M639" s="58" t="s">
        <v>220</v>
      </c>
      <c r="N639" s="58" t="s">
        <v>236</v>
      </c>
      <c r="O639" s="58" t="s">
        <v>70</v>
      </c>
      <c r="P639" s="3">
        <v>240</v>
      </c>
      <c r="Q639" s="126">
        <f>500+350</f>
        <v>850</v>
      </c>
      <c r="R639" s="126">
        <f>500-50</f>
        <v>450</v>
      </c>
      <c r="S639" s="126">
        <f>500-50</f>
        <v>450</v>
      </c>
    </row>
    <row r="640" spans="1:19" ht="31.5">
      <c r="A640" s="72"/>
      <c r="B640" s="74"/>
      <c r="C640" s="76"/>
      <c r="D640" s="71"/>
      <c r="E640" s="66"/>
      <c r="F640" s="66"/>
      <c r="G640" s="51"/>
      <c r="H640" s="2" t="s">
        <v>374</v>
      </c>
      <c r="I640" s="9">
        <v>669</v>
      </c>
      <c r="J640" s="11">
        <v>5</v>
      </c>
      <c r="K640" s="11">
        <v>5</v>
      </c>
      <c r="L640" s="57" t="s">
        <v>494</v>
      </c>
      <c r="M640" s="58" t="s">
        <v>220</v>
      </c>
      <c r="N640" s="58" t="s">
        <v>236</v>
      </c>
      <c r="O640" s="58" t="s">
        <v>373</v>
      </c>
      <c r="P640" s="3"/>
      <c r="Q640" s="126">
        <f>Q641</f>
        <v>1967.7</v>
      </c>
      <c r="R640" s="126">
        <f>R641</f>
        <v>1967.7</v>
      </c>
      <c r="S640" s="126">
        <f>S641</f>
        <v>1967.7</v>
      </c>
    </row>
    <row r="641" spans="1:19" ht="18.75">
      <c r="A641" s="72"/>
      <c r="B641" s="74"/>
      <c r="C641" s="76"/>
      <c r="D641" s="71"/>
      <c r="E641" s="66"/>
      <c r="F641" s="66"/>
      <c r="G641" s="51"/>
      <c r="H641" s="2" t="s">
        <v>301</v>
      </c>
      <c r="I641" s="9">
        <v>669</v>
      </c>
      <c r="J641" s="11">
        <v>5</v>
      </c>
      <c r="K641" s="11">
        <v>5</v>
      </c>
      <c r="L641" s="57" t="s">
        <v>494</v>
      </c>
      <c r="M641" s="58" t="s">
        <v>220</v>
      </c>
      <c r="N641" s="58" t="s">
        <v>236</v>
      </c>
      <c r="O641" s="58" t="s">
        <v>373</v>
      </c>
      <c r="P641" s="3">
        <v>610</v>
      </c>
      <c r="Q641" s="126">
        <v>1967.7</v>
      </c>
      <c r="R641" s="126">
        <v>1967.7</v>
      </c>
      <c r="S641" s="126">
        <v>1967.7</v>
      </c>
    </row>
    <row r="642" spans="1:19" ht="47.25">
      <c r="A642" s="59"/>
      <c r="B642" s="60"/>
      <c r="C642" s="76"/>
      <c r="D642" s="73"/>
      <c r="E642" s="76"/>
      <c r="F642" s="76"/>
      <c r="G642" s="51"/>
      <c r="H642" s="2" t="s">
        <v>570</v>
      </c>
      <c r="I642" s="9">
        <v>669</v>
      </c>
      <c r="J642" s="11">
        <v>5</v>
      </c>
      <c r="K642" s="11">
        <v>5</v>
      </c>
      <c r="L642" s="57" t="s">
        <v>494</v>
      </c>
      <c r="M642" s="58" t="s">
        <v>220</v>
      </c>
      <c r="N642" s="58" t="s">
        <v>236</v>
      </c>
      <c r="O642" s="58" t="s">
        <v>267</v>
      </c>
      <c r="P642" s="7"/>
      <c r="Q642" s="124">
        <f>Q643</f>
        <v>550</v>
      </c>
      <c r="R642" s="124">
        <f>R643</f>
        <v>65</v>
      </c>
      <c r="S642" s="124">
        <f>S643</f>
        <v>65</v>
      </c>
    </row>
    <row r="643" spans="1:19" ht="18.75">
      <c r="A643" s="59"/>
      <c r="B643" s="60"/>
      <c r="C643" s="76"/>
      <c r="D643" s="73"/>
      <c r="E643" s="76"/>
      <c r="F643" s="76"/>
      <c r="G643" s="51"/>
      <c r="H643" s="2" t="s">
        <v>299</v>
      </c>
      <c r="I643" s="9">
        <v>669</v>
      </c>
      <c r="J643" s="11">
        <v>5</v>
      </c>
      <c r="K643" s="11">
        <v>5</v>
      </c>
      <c r="L643" s="57" t="s">
        <v>494</v>
      </c>
      <c r="M643" s="58" t="s">
        <v>220</v>
      </c>
      <c r="N643" s="58" t="s">
        <v>236</v>
      </c>
      <c r="O643" s="58" t="s">
        <v>267</v>
      </c>
      <c r="P643" s="7">
        <v>240</v>
      </c>
      <c r="Q643" s="124">
        <f>65-15+80+300+120</f>
        <v>550</v>
      </c>
      <c r="R643" s="130">
        <v>65</v>
      </c>
      <c r="S643" s="130">
        <v>65</v>
      </c>
    </row>
    <row r="644" spans="1:19" ht="31.5">
      <c r="A644" s="76"/>
      <c r="B644" s="73"/>
      <c r="C644" s="76"/>
      <c r="D644" s="73"/>
      <c r="E644" s="76"/>
      <c r="F644" s="76"/>
      <c r="G644" s="51"/>
      <c r="H644" s="25" t="s">
        <v>540</v>
      </c>
      <c r="I644" s="9">
        <v>669</v>
      </c>
      <c r="J644" s="11">
        <v>5</v>
      </c>
      <c r="K644" s="11">
        <v>5</v>
      </c>
      <c r="L644" s="57" t="s">
        <v>515</v>
      </c>
      <c r="M644" s="58" t="s">
        <v>220</v>
      </c>
      <c r="N644" s="58" t="s">
        <v>229</v>
      </c>
      <c r="O644" s="58" t="s">
        <v>261</v>
      </c>
      <c r="P644" s="3"/>
      <c r="Q644" s="126">
        <f>Q645</f>
        <v>1905.5</v>
      </c>
      <c r="R644" s="126">
        <f aca="true" t="shared" si="68" ref="R644:S646">R645</f>
        <v>1700</v>
      </c>
      <c r="S644" s="126">
        <f t="shared" si="68"/>
        <v>1700</v>
      </c>
    </row>
    <row r="645" spans="1:19" ht="47.25">
      <c r="A645" s="76"/>
      <c r="B645" s="73"/>
      <c r="C645" s="76"/>
      <c r="D645" s="73"/>
      <c r="E645" s="76"/>
      <c r="F645" s="76"/>
      <c r="G645" s="51"/>
      <c r="H645" s="2" t="s">
        <v>847</v>
      </c>
      <c r="I645" s="9">
        <v>669</v>
      </c>
      <c r="J645" s="11">
        <v>5</v>
      </c>
      <c r="K645" s="11">
        <v>5</v>
      </c>
      <c r="L645" s="57" t="s">
        <v>515</v>
      </c>
      <c r="M645" s="58" t="s">
        <v>220</v>
      </c>
      <c r="N645" s="58" t="s">
        <v>221</v>
      </c>
      <c r="O645" s="58" t="s">
        <v>261</v>
      </c>
      <c r="P645" s="3"/>
      <c r="Q645" s="126">
        <f>Q646</f>
        <v>1905.5</v>
      </c>
      <c r="R645" s="126">
        <f t="shared" si="68"/>
        <v>1700</v>
      </c>
      <c r="S645" s="126">
        <f t="shared" si="68"/>
        <v>1700</v>
      </c>
    </row>
    <row r="646" spans="1:19" ht="47.25">
      <c r="A646" s="76"/>
      <c r="B646" s="73"/>
      <c r="C646" s="76"/>
      <c r="D646" s="73"/>
      <c r="E646" s="76"/>
      <c r="F646" s="76"/>
      <c r="G646" s="51"/>
      <c r="H646" s="2" t="s">
        <v>848</v>
      </c>
      <c r="I646" s="9">
        <v>669</v>
      </c>
      <c r="J646" s="11">
        <v>5</v>
      </c>
      <c r="K646" s="11">
        <v>5</v>
      </c>
      <c r="L646" s="57" t="s">
        <v>515</v>
      </c>
      <c r="M646" s="58" t="s">
        <v>220</v>
      </c>
      <c r="N646" s="58" t="s">
        <v>221</v>
      </c>
      <c r="O646" s="58" t="s">
        <v>10</v>
      </c>
      <c r="P646" s="3"/>
      <c r="Q646" s="126">
        <f>Q647+Q648</f>
        <v>1905.5</v>
      </c>
      <c r="R646" s="126">
        <f t="shared" si="68"/>
        <v>1700</v>
      </c>
      <c r="S646" s="126">
        <f t="shared" si="68"/>
        <v>1700</v>
      </c>
    </row>
    <row r="647" spans="1:19" ht="18.75">
      <c r="A647" s="76"/>
      <c r="B647" s="73"/>
      <c r="C647" s="76"/>
      <c r="D647" s="73"/>
      <c r="E647" s="76"/>
      <c r="F647" s="76"/>
      <c r="G647" s="51"/>
      <c r="H647" s="2" t="s">
        <v>299</v>
      </c>
      <c r="I647" s="9">
        <v>669</v>
      </c>
      <c r="J647" s="11">
        <v>5</v>
      </c>
      <c r="K647" s="11">
        <v>5</v>
      </c>
      <c r="L647" s="57" t="s">
        <v>515</v>
      </c>
      <c r="M647" s="58" t="s">
        <v>220</v>
      </c>
      <c r="N647" s="58" t="s">
        <v>221</v>
      </c>
      <c r="O647" s="58" t="s">
        <v>10</v>
      </c>
      <c r="P647" s="3">
        <v>240</v>
      </c>
      <c r="Q647" s="126">
        <v>35</v>
      </c>
      <c r="R647" s="130">
        <v>1700</v>
      </c>
      <c r="S647" s="130">
        <v>1700</v>
      </c>
    </row>
    <row r="648" spans="1:19" ht="18.75">
      <c r="A648" s="76"/>
      <c r="B648" s="73"/>
      <c r="C648" s="76"/>
      <c r="D648" s="73"/>
      <c r="E648" s="76"/>
      <c r="F648" s="76"/>
      <c r="G648" s="51"/>
      <c r="H648" s="2" t="s">
        <v>301</v>
      </c>
      <c r="I648" s="9">
        <v>669</v>
      </c>
      <c r="J648" s="11">
        <v>5</v>
      </c>
      <c r="K648" s="11">
        <v>5</v>
      </c>
      <c r="L648" s="57" t="s">
        <v>515</v>
      </c>
      <c r="M648" s="58" t="s">
        <v>220</v>
      </c>
      <c r="N648" s="58" t="s">
        <v>221</v>
      </c>
      <c r="O648" s="58" t="s">
        <v>10</v>
      </c>
      <c r="P648" s="3">
        <v>610</v>
      </c>
      <c r="Q648" s="126">
        <f>1700+55.5+115</f>
        <v>1870.5</v>
      </c>
      <c r="R648" s="130">
        <v>0</v>
      </c>
      <c r="S648" s="130">
        <v>0</v>
      </c>
    </row>
    <row r="649" spans="1:19" s="113" customFormat="1" ht="19.5" hidden="1">
      <c r="A649" s="106"/>
      <c r="B649" s="128"/>
      <c r="C649" s="104"/>
      <c r="D649" s="107"/>
      <c r="E649" s="92"/>
      <c r="F649" s="92"/>
      <c r="G649" s="84"/>
      <c r="H649" s="227" t="s">
        <v>248</v>
      </c>
      <c r="I649" s="251">
        <v>669</v>
      </c>
      <c r="J649" s="86">
        <v>10</v>
      </c>
      <c r="K649" s="86"/>
      <c r="L649" s="87"/>
      <c r="M649" s="88"/>
      <c r="N649" s="88"/>
      <c r="O649" s="88"/>
      <c r="P649" s="93"/>
      <c r="Q649" s="127">
        <f>Q650</f>
        <v>0</v>
      </c>
      <c r="R649" s="127">
        <f aca="true" t="shared" si="69" ref="R649:S653">R650</f>
        <v>0</v>
      </c>
      <c r="S649" s="127">
        <f t="shared" si="69"/>
        <v>0</v>
      </c>
    </row>
    <row r="650" spans="1:19" s="113" customFormat="1" ht="19.5" hidden="1">
      <c r="A650" s="106"/>
      <c r="B650" s="224"/>
      <c r="C650" s="104"/>
      <c r="D650" s="91"/>
      <c r="E650" s="92"/>
      <c r="F650" s="92"/>
      <c r="G650" s="84"/>
      <c r="H650" s="225" t="s">
        <v>81</v>
      </c>
      <c r="I650" s="251">
        <v>669</v>
      </c>
      <c r="J650" s="86">
        <v>10</v>
      </c>
      <c r="K650" s="86">
        <v>1</v>
      </c>
      <c r="L650" s="87"/>
      <c r="M650" s="88"/>
      <c r="N650" s="88"/>
      <c r="O650" s="88"/>
      <c r="P650" s="93"/>
      <c r="Q650" s="127">
        <f>Q651</f>
        <v>0</v>
      </c>
      <c r="R650" s="127">
        <f t="shared" si="69"/>
        <v>0</v>
      </c>
      <c r="S650" s="127">
        <f t="shared" si="69"/>
        <v>0</v>
      </c>
    </row>
    <row r="651" spans="1:19" ht="31.5" hidden="1">
      <c r="A651" s="72"/>
      <c r="B651" s="73"/>
      <c r="C651" s="68"/>
      <c r="D651" s="69"/>
      <c r="E651" s="66"/>
      <c r="F651" s="66"/>
      <c r="G651" s="51"/>
      <c r="H651" s="2" t="s">
        <v>522</v>
      </c>
      <c r="I651" s="9">
        <v>669</v>
      </c>
      <c r="J651" s="11">
        <v>10</v>
      </c>
      <c r="K651" s="11">
        <v>1</v>
      </c>
      <c r="L651" s="57" t="s">
        <v>494</v>
      </c>
      <c r="M651" s="58" t="s">
        <v>220</v>
      </c>
      <c r="N651" s="58" t="s">
        <v>229</v>
      </c>
      <c r="O651" s="58" t="s">
        <v>261</v>
      </c>
      <c r="P651" s="3"/>
      <c r="Q651" s="126">
        <f>Q652</f>
        <v>0</v>
      </c>
      <c r="R651" s="126">
        <f t="shared" si="69"/>
        <v>0</v>
      </c>
      <c r="S651" s="126">
        <f t="shared" si="69"/>
        <v>0</v>
      </c>
    </row>
    <row r="652" spans="1:19" ht="31.5" hidden="1">
      <c r="A652" s="72"/>
      <c r="B652" s="74"/>
      <c r="C652" s="68"/>
      <c r="D652" s="71"/>
      <c r="E652" s="66"/>
      <c r="F652" s="66"/>
      <c r="G652" s="51"/>
      <c r="H652" s="2" t="s">
        <v>899</v>
      </c>
      <c r="I652" s="9">
        <v>669</v>
      </c>
      <c r="J652" s="11">
        <v>10</v>
      </c>
      <c r="K652" s="11">
        <v>1</v>
      </c>
      <c r="L652" s="57" t="s">
        <v>494</v>
      </c>
      <c r="M652" s="58" t="s">
        <v>220</v>
      </c>
      <c r="N652" s="58" t="s">
        <v>236</v>
      </c>
      <c r="O652" s="58" t="s">
        <v>261</v>
      </c>
      <c r="P652" s="3"/>
      <c r="Q652" s="126">
        <f>Q653</f>
        <v>0</v>
      </c>
      <c r="R652" s="126">
        <f t="shared" si="69"/>
        <v>0</v>
      </c>
      <c r="S652" s="126">
        <f t="shared" si="69"/>
        <v>0</v>
      </c>
    </row>
    <row r="653" spans="1:19" ht="18.75" hidden="1">
      <c r="A653" s="72"/>
      <c r="B653" s="73"/>
      <c r="C653" s="68"/>
      <c r="D653" s="69"/>
      <c r="E653" s="66"/>
      <c r="F653" s="66"/>
      <c r="G653" s="51"/>
      <c r="H653" s="2" t="s">
        <v>556</v>
      </c>
      <c r="I653" s="9">
        <v>669</v>
      </c>
      <c r="J653" s="11">
        <v>10</v>
      </c>
      <c r="K653" s="11">
        <v>1</v>
      </c>
      <c r="L653" s="57" t="s">
        <v>494</v>
      </c>
      <c r="M653" s="58" t="s">
        <v>220</v>
      </c>
      <c r="N653" s="58" t="s">
        <v>236</v>
      </c>
      <c r="O653" s="58" t="s">
        <v>37</v>
      </c>
      <c r="P653" s="3"/>
      <c r="Q653" s="126">
        <f>Q654</f>
        <v>0</v>
      </c>
      <c r="R653" s="126">
        <f t="shared" si="69"/>
        <v>0</v>
      </c>
      <c r="S653" s="126">
        <f t="shared" si="69"/>
        <v>0</v>
      </c>
    </row>
    <row r="654" spans="1:19" ht="18.75" hidden="1">
      <c r="A654" s="72"/>
      <c r="B654" s="74"/>
      <c r="C654" s="68"/>
      <c r="D654" s="71"/>
      <c r="E654" s="66"/>
      <c r="F654" s="66"/>
      <c r="G654" s="51"/>
      <c r="H654" s="26" t="s">
        <v>303</v>
      </c>
      <c r="I654" s="9">
        <v>669</v>
      </c>
      <c r="J654" s="11">
        <v>10</v>
      </c>
      <c r="K654" s="11">
        <v>1</v>
      </c>
      <c r="L654" s="57" t="s">
        <v>494</v>
      </c>
      <c r="M654" s="58" t="s">
        <v>220</v>
      </c>
      <c r="N654" s="58" t="s">
        <v>236</v>
      </c>
      <c r="O654" s="58" t="s">
        <v>37</v>
      </c>
      <c r="P654" s="3">
        <v>310</v>
      </c>
      <c r="Q654" s="126"/>
      <c r="R654" s="126"/>
      <c r="S654" s="126"/>
    </row>
    <row r="655" spans="1:19" s="111" customFormat="1" ht="16.5">
      <c r="A655" s="105"/>
      <c r="B655" s="114"/>
      <c r="C655" s="317"/>
      <c r="D655" s="115"/>
      <c r="E655" s="327"/>
      <c r="F655" s="327"/>
      <c r="G655" s="319">
        <v>120</v>
      </c>
      <c r="H655" s="320" t="s">
        <v>489</v>
      </c>
      <c r="I655" s="328">
        <v>670</v>
      </c>
      <c r="J655" s="10"/>
      <c r="K655" s="10"/>
      <c r="L655" s="81"/>
      <c r="M655" s="82"/>
      <c r="N655" s="82"/>
      <c r="O655" s="82"/>
      <c r="P655" s="18"/>
      <c r="Q655" s="213">
        <f>Q656</f>
        <v>26454</v>
      </c>
      <c r="R655" s="213">
        <f>R656</f>
        <v>27953.4</v>
      </c>
      <c r="S655" s="213">
        <f>S656</f>
        <v>26953.4</v>
      </c>
    </row>
    <row r="656" spans="1:19" s="113" customFormat="1" ht="19.5">
      <c r="A656" s="106"/>
      <c r="B656" s="128"/>
      <c r="C656" s="104"/>
      <c r="D656" s="107"/>
      <c r="E656" s="92"/>
      <c r="F656" s="92"/>
      <c r="G656" s="84"/>
      <c r="H656" s="227" t="s">
        <v>235</v>
      </c>
      <c r="I656" s="251">
        <v>670</v>
      </c>
      <c r="J656" s="86">
        <v>1</v>
      </c>
      <c r="K656" s="86"/>
      <c r="L656" s="87"/>
      <c r="M656" s="88"/>
      <c r="N656" s="88"/>
      <c r="O656" s="88"/>
      <c r="P656" s="93"/>
      <c r="Q656" s="127">
        <f>Q657+Q678</f>
        <v>26454</v>
      </c>
      <c r="R656" s="127">
        <f>R657+R678</f>
        <v>27953.4</v>
      </c>
      <c r="S656" s="127">
        <f>S657+S678</f>
        <v>26953.4</v>
      </c>
    </row>
    <row r="657" spans="1:19" s="113" customFormat="1" ht="31.5">
      <c r="A657" s="106"/>
      <c r="B657" s="128"/>
      <c r="C657" s="104"/>
      <c r="D657" s="107"/>
      <c r="E657" s="92"/>
      <c r="F657" s="92"/>
      <c r="G657" s="84"/>
      <c r="H657" s="225" t="s">
        <v>76</v>
      </c>
      <c r="I657" s="251">
        <v>670</v>
      </c>
      <c r="J657" s="86">
        <v>1</v>
      </c>
      <c r="K657" s="86">
        <v>6</v>
      </c>
      <c r="L657" s="87"/>
      <c r="M657" s="88"/>
      <c r="N657" s="88"/>
      <c r="O657" s="88"/>
      <c r="P657" s="93"/>
      <c r="Q657" s="127">
        <f>Q658</f>
        <v>9050.5</v>
      </c>
      <c r="R657" s="127">
        <f>R658</f>
        <v>9720.2</v>
      </c>
      <c r="S657" s="127">
        <f>S658</f>
        <v>9220.2</v>
      </c>
    </row>
    <row r="658" spans="1:19" ht="31.5">
      <c r="A658" s="72"/>
      <c r="B658" s="73"/>
      <c r="C658" s="68"/>
      <c r="D658" s="69"/>
      <c r="E658" s="66"/>
      <c r="F658" s="66"/>
      <c r="G658" s="51"/>
      <c r="H658" s="2" t="s">
        <v>573</v>
      </c>
      <c r="I658" s="9">
        <v>670</v>
      </c>
      <c r="J658" s="11">
        <v>1</v>
      </c>
      <c r="K658" s="11">
        <v>6</v>
      </c>
      <c r="L658" s="57" t="s">
        <v>225</v>
      </c>
      <c r="M658" s="58" t="s">
        <v>220</v>
      </c>
      <c r="N658" s="58" t="s">
        <v>229</v>
      </c>
      <c r="O658" s="58" t="s">
        <v>261</v>
      </c>
      <c r="P658" s="3"/>
      <c r="Q658" s="126">
        <f>Q659+Q663+Q673</f>
        <v>9050.5</v>
      </c>
      <c r="R658" s="126">
        <f>R659+R663+R673</f>
        <v>9720.2</v>
      </c>
      <c r="S658" s="126">
        <f>S659+S663+S673</f>
        <v>9220.2</v>
      </c>
    </row>
    <row r="659" spans="1:19" ht="31.5">
      <c r="A659" s="56"/>
      <c r="B659" s="56"/>
      <c r="C659" s="56"/>
      <c r="D659" s="56"/>
      <c r="E659" s="56"/>
      <c r="F659" s="56"/>
      <c r="G659" s="51"/>
      <c r="H659" s="2" t="s">
        <v>574</v>
      </c>
      <c r="I659" s="9">
        <v>670</v>
      </c>
      <c r="J659" s="11">
        <v>1</v>
      </c>
      <c r="K659" s="11">
        <v>6</v>
      </c>
      <c r="L659" s="57" t="s">
        <v>225</v>
      </c>
      <c r="M659" s="58" t="s">
        <v>222</v>
      </c>
      <c r="N659" s="58" t="s">
        <v>229</v>
      </c>
      <c r="O659" s="58" t="s">
        <v>261</v>
      </c>
      <c r="P659" s="3"/>
      <c r="Q659" s="126">
        <f>Q660</f>
        <v>20</v>
      </c>
      <c r="R659" s="126">
        <f aca="true" t="shared" si="70" ref="R659:S661">R660</f>
        <v>20</v>
      </c>
      <c r="S659" s="126">
        <f t="shared" si="70"/>
        <v>20</v>
      </c>
    </row>
    <row r="660" spans="1:19" ht="31.5">
      <c r="A660" s="56"/>
      <c r="B660" s="56"/>
      <c r="C660" s="56"/>
      <c r="D660" s="56"/>
      <c r="E660" s="56"/>
      <c r="F660" s="56"/>
      <c r="G660" s="51"/>
      <c r="H660" s="2" t="s">
        <v>575</v>
      </c>
      <c r="I660" s="9">
        <v>670</v>
      </c>
      <c r="J660" s="11">
        <v>1</v>
      </c>
      <c r="K660" s="11">
        <v>6</v>
      </c>
      <c r="L660" s="57" t="s">
        <v>225</v>
      </c>
      <c r="M660" s="58" t="s">
        <v>222</v>
      </c>
      <c r="N660" s="58" t="s">
        <v>237</v>
      </c>
      <c r="O660" s="58" t="s">
        <v>261</v>
      </c>
      <c r="P660" s="3"/>
      <c r="Q660" s="126">
        <f>Q661</f>
        <v>20</v>
      </c>
      <c r="R660" s="126">
        <f t="shared" si="70"/>
        <v>20</v>
      </c>
      <c r="S660" s="126">
        <f t="shared" si="70"/>
        <v>20</v>
      </c>
    </row>
    <row r="661" spans="1:19" ht="18.75">
      <c r="A661" s="56"/>
      <c r="B661" s="56"/>
      <c r="C661" s="56"/>
      <c r="D661" s="56"/>
      <c r="E661" s="56"/>
      <c r="F661" s="56"/>
      <c r="G661" s="51"/>
      <c r="H661" s="2" t="s">
        <v>60</v>
      </c>
      <c r="I661" s="9">
        <v>670</v>
      </c>
      <c r="J661" s="11">
        <v>1</v>
      </c>
      <c r="K661" s="11">
        <v>6</v>
      </c>
      <c r="L661" s="57" t="s">
        <v>225</v>
      </c>
      <c r="M661" s="58" t="s">
        <v>222</v>
      </c>
      <c r="N661" s="58" t="s">
        <v>237</v>
      </c>
      <c r="O661" s="58" t="s">
        <v>264</v>
      </c>
      <c r="P661" s="3"/>
      <c r="Q661" s="126">
        <f>Q662</f>
        <v>20</v>
      </c>
      <c r="R661" s="126">
        <f t="shared" si="70"/>
        <v>20</v>
      </c>
      <c r="S661" s="126">
        <f t="shared" si="70"/>
        <v>20</v>
      </c>
    </row>
    <row r="662" spans="1:19" ht="18.75">
      <c r="A662" s="56"/>
      <c r="B662" s="56"/>
      <c r="C662" s="56"/>
      <c r="D662" s="56"/>
      <c r="E662" s="56"/>
      <c r="F662" s="56"/>
      <c r="G662" s="51"/>
      <c r="H662" s="2" t="s">
        <v>299</v>
      </c>
      <c r="I662" s="9">
        <v>670</v>
      </c>
      <c r="J662" s="11">
        <v>1</v>
      </c>
      <c r="K662" s="11">
        <v>6</v>
      </c>
      <c r="L662" s="57" t="s">
        <v>225</v>
      </c>
      <c r="M662" s="58" t="s">
        <v>222</v>
      </c>
      <c r="N662" s="58" t="s">
        <v>237</v>
      </c>
      <c r="O662" s="58" t="s">
        <v>264</v>
      </c>
      <c r="P662" s="3">
        <v>240</v>
      </c>
      <c r="Q662" s="126">
        <v>20</v>
      </c>
      <c r="R662" s="126">
        <v>20</v>
      </c>
      <c r="S662" s="126">
        <v>20</v>
      </c>
    </row>
    <row r="663" spans="1:19" ht="31.5">
      <c r="A663" s="56"/>
      <c r="B663" s="56"/>
      <c r="C663" s="56"/>
      <c r="D663" s="56"/>
      <c r="E663" s="56"/>
      <c r="F663" s="56"/>
      <c r="G663" s="51"/>
      <c r="H663" s="2" t="s">
        <v>576</v>
      </c>
      <c r="I663" s="9">
        <v>670</v>
      </c>
      <c r="J663" s="11">
        <v>1</v>
      </c>
      <c r="K663" s="11">
        <v>6</v>
      </c>
      <c r="L663" s="57" t="s">
        <v>225</v>
      </c>
      <c r="M663" s="58" t="s">
        <v>368</v>
      </c>
      <c r="N663" s="58" t="s">
        <v>229</v>
      </c>
      <c r="O663" s="58" t="s">
        <v>511</v>
      </c>
      <c r="P663" s="3"/>
      <c r="Q663" s="126">
        <f>Q664</f>
        <v>9010.5</v>
      </c>
      <c r="R663" s="126">
        <f>R664</f>
        <v>9680.2</v>
      </c>
      <c r="S663" s="126">
        <f>S664</f>
        <v>9180.2</v>
      </c>
    </row>
    <row r="664" spans="1:19" ht="63">
      <c r="A664" s="56"/>
      <c r="B664" s="56"/>
      <c r="C664" s="56"/>
      <c r="D664" s="56"/>
      <c r="E664" s="56"/>
      <c r="F664" s="56"/>
      <c r="G664" s="51"/>
      <c r="H664" s="2" t="s">
        <v>577</v>
      </c>
      <c r="I664" s="9">
        <v>670</v>
      </c>
      <c r="J664" s="11">
        <v>1</v>
      </c>
      <c r="K664" s="11">
        <v>6</v>
      </c>
      <c r="L664" s="57" t="s">
        <v>225</v>
      </c>
      <c r="M664" s="58" t="s">
        <v>368</v>
      </c>
      <c r="N664" s="58" t="s">
        <v>221</v>
      </c>
      <c r="O664" s="58" t="s">
        <v>261</v>
      </c>
      <c r="P664" s="3"/>
      <c r="Q664" s="126">
        <f>Q665+Q669+Q671</f>
        <v>9010.5</v>
      </c>
      <c r="R664" s="126">
        <f>R665+R669+R671</f>
        <v>9680.2</v>
      </c>
      <c r="S664" s="126">
        <f>S665+S669+S671</f>
        <v>9180.2</v>
      </c>
    </row>
    <row r="665" spans="1:19" ht="18.75">
      <c r="A665" s="56"/>
      <c r="B665" s="56"/>
      <c r="C665" s="56"/>
      <c r="D665" s="56"/>
      <c r="E665" s="56"/>
      <c r="F665" s="56"/>
      <c r="G665" s="51"/>
      <c r="H665" s="2" t="s">
        <v>60</v>
      </c>
      <c r="I665" s="9">
        <v>670</v>
      </c>
      <c r="J665" s="11">
        <v>1</v>
      </c>
      <c r="K665" s="11">
        <v>6</v>
      </c>
      <c r="L665" s="57" t="s">
        <v>225</v>
      </c>
      <c r="M665" s="58" t="s">
        <v>368</v>
      </c>
      <c r="N665" s="58" t="s">
        <v>221</v>
      </c>
      <c r="O665" s="58" t="s">
        <v>264</v>
      </c>
      <c r="P665" s="3"/>
      <c r="Q665" s="126">
        <f>Q666+Q667+Q668</f>
        <v>5415</v>
      </c>
      <c r="R665" s="126">
        <f>R666+R667+R668</f>
        <v>6084.7</v>
      </c>
      <c r="S665" s="126">
        <f>S666+S667+S668</f>
        <v>5584.7</v>
      </c>
    </row>
    <row r="666" spans="1:19" ht="18.75">
      <c r="A666" s="56"/>
      <c r="B666" s="56"/>
      <c r="C666" s="56"/>
      <c r="D666" s="56"/>
      <c r="E666" s="56"/>
      <c r="F666" s="56"/>
      <c r="G666" s="51"/>
      <c r="H666" s="2" t="s">
        <v>204</v>
      </c>
      <c r="I666" s="9">
        <v>670</v>
      </c>
      <c r="J666" s="11">
        <v>1</v>
      </c>
      <c r="K666" s="11">
        <v>6</v>
      </c>
      <c r="L666" s="57" t="s">
        <v>225</v>
      </c>
      <c r="M666" s="58" t="s">
        <v>368</v>
      </c>
      <c r="N666" s="58" t="s">
        <v>221</v>
      </c>
      <c r="O666" s="58" t="s">
        <v>264</v>
      </c>
      <c r="P666" s="3">
        <v>120</v>
      </c>
      <c r="Q666" s="126">
        <f>4988.7-330+45-96</f>
        <v>4607.7</v>
      </c>
      <c r="R666" s="126">
        <v>5303.4</v>
      </c>
      <c r="S666" s="126">
        <v>5258.4</v>
      </c>
    </row>
    <row r="667" spans="1:19" ht="18.75">
      <c r="A667" s="56"/>
      <c r="B667" s="56"/>
      <c r="C667" s="56"/>
      <c r="D667" s="56"/>
      <c r="E667" s="56"/>
      <c r="F667" s="56"/>
      <c r="G667" s="51"/>
      <c r="H667" s="2" t="s">
        <v>299</v>
      </c>
      <c r="I667" s="9">
        <v>670</v>
      </c>
      <c r="J667" s="11">
        <v>1</v>
      </c>
      <c r="K667" s="11">
        <v>6</v>
      </c>
      <c r="L667" s="57" t="s">
        <v>225</v>
      </c>
      <c r="M667" s="58" t="s">
        <v>368</v>
      </c>
      <c r="N667" s="58" t="s">
        <v>221</v>
      </c>
      <c r="O667" s="58" t="s">
        <v>264</v>
      </c>
      <c r="P667" s="3">
        <v>240</v>
      </c>
      <c r="Q667" s="126">
        <f>424.3+350</f>
        <v>774.3</v>
      </c>
      <c r="R667" s="126">
        <f>1124.3-250-100</f>
        <v>774.3</v>
      </c>
      <c r="S667" s="126">
        <f>424.3-100</f>
        <v>324.3</v>
      </c>
    </row>
    <row r="668" spans="1:19" ht="18.75">
      <c r="A668" s="56"/>
      <c r="B668" s="56"/>
      <c r="C668" s="56"/>
      <c r="D668" s="56"/>
      <c r="E668" s="56"/>
      <c r="F668" s="56"/>
      <c r="G668" s="51"/>
      <c r="H668" s="2" t="s">
        <v>300</v>
      </c>
      <c r="I668" s="9">
        <v>670</v>
      </c>
      <c r="J668" s="11">
        <v>1</v>
      </c>
      <c r="K668" s="11">
        <v>6</v>
      </c>
      <c r="L668" s="57" t="s">
        <v>225</v>
      </c>
      <c r="M668" s="58" t="s">
        <v>368</v>
      </c>
      <c r="N668" s="58" t="s">
        <v>221</v>
      </c>
      <c r="O668" s="58" t="s">
        <v>264</v>
      </c>
      <c r="P668" s="3">
        <v>850</v>
      </c>
      <c r="Q668" s="126">
        <f>2+31</f>
        <v>33</v>
      </c>
      <c r="R668" s="126">
        <v>7</v>
      </c>
      <c r="S668" s="126">
        <v>2</v>
      </c>
    </row>
    <row r="669" spans="1:19" ht="31.5">
      <c r="A669" s="56"/>
      <c r="B669" s="56"/>
      <c r="C669" s="56"/>
      <c r="D669" s="56"/>
      <c r="E669" s="56"/>
      <c r="F669" s="56"/>
      <c r="G669" s="51"/>
      <c r="H669" s="2" t="s">
        <v>374</v>
      </c>
      <c r="I669" s="5">
        <v>670</v>
      </c>
      <c r="J669" s="13">
        <v>1</v>
      </c>
      <c r="K669" s="11">
        <v>6</v>
      </c>
      <c r="L669" s="57" t="s">
        <v>225</v>
      </c>
      <c r="M669" s="58" t="s">
        <v>368</v>
      </c>
      <c r="N669" s="58" t="s">
        <v>221</v>
      </c>
      <c r="O669" s="58" t="s">
        <v>373</v>
      </c>
      <c r="P669" s="3"/>
      <c r="Q669" s="126">
        <f>Q670</f>
        <v>3549.9</v>
      </c>
      <c r="R669" s="126">
        <f>R670</f>
        <v>3549.9</v>
      </c>
      <c r="S669" s="126">
        <f>S670</f>
        <v>3549.9</v>
      </c>
    </row>
    <row r="670" spans="1:19" ht="18.75">
      <c r="A670" s="56"/>
      <c r="B670" s="56"/>
      <c r="C670" s="56"/>
      <c r="D670" s="56"/>
      <c r="E670" s="56"/>
      <c r="F670" s="56"/>
      <c r="G670" s="51"/>
      <c r="H670" s="2" t="s">
        <v>204</v>
      </c>
      <c r="I670" s="5">
        <v>670</v>
      </c>
      <c r="J670" s="15">
        <v>1</v>
      </c>
      <c r="K670" s="11">
        <v>6</v>
      </c>
      <c r="L670" s="57" t="s">
        <v>225</v>
      </c>
      <c r="M670" s="58" t="s">
        <v>368</v>
      </c>
      <c r="N670" s="58" t="s">
        <v>221</v>
      </c>
      <c r="O670" s="58" t="s">
        <v>373</v>
      </c>
      <c r="P670" s="3">
        <v>120</v>
      </c>
      <c r="Q670" s="124">
        <v>3549.9</v>
      </c>
      <c r="R670" s="124">
        <v>3549.9</v>
      </c>
      <c r="S670" s="124">
        <v>3549.9</v>
      </c>
    </row>
    <row r="671" spans="1:19" ht="18.75">
      <c r="A671" s="56"/>
      <c r="B671" s="56"/>
      <c r="C671" s="56"/>
      <c r="D671" s="56"/>
      <c r="E671" s="56"/>
      <c r="F671" s="56"/>
      <c r="G671" s="51"/>
      <c r="H671" s="2" t="s">
        <v>342</v>
      </c>
      <c r="I671" s="5">
        <v>670</v>
      </c>
      <c r="J671" s="15">
        <v>1</v>
      </c>
      <c r="K671" s="11">
        <v>6</v>
      </c>
      <c r="L671" s="57" t="s">
        <v>225</v>
      </c>
      <c r="M671" s="58" t="s">
        <v>368</v>
      </c>
      <c r="N671" s="58" t="s">
        <v>221</v>
      </c>
      <c r="O671" s="58" t="s">
        <v>341</v>
      </c>
      <c r="P671" s="3"/>
      <c r="Q671" s="126">
        <f>Q672</f>
        <v>45.6</v>
      </c>
      <c r="R671" s="126">
        <f>R672</f>
        <v>45.6</v>
      </c>
      <c r="S671" s="126">
        <f>S672</f>
        <v>45.6</v>
      </c>
    </row>
    <row r="672" spans="1:19" ht="18.75">
      <c r="A672" s="56"/>
      <c r="B672" s="56"/>
      <c r="C672" s="56"/>
      <c r="D672" s="56"/>
      <c r="E672" s="56"/>
      <c r="F672" s="56"/>
      <c r="G672" s="51"/>
      <c r="H672" s="2" t="s">
        <v>299</v>
      </c>
      <c r="I672" s="5">
        <v>670</v>
      </c>
      <c r="J672" s="15">
        <v>1</v>
      </c>
      <c r="K672" s="11">
        <v>6</v>
      </c>
      <c r="L672" s="57" t="s">
        <v>225</v>
      </c>
      <c r="M672" s="58" t="s">
        <v>368</v>
      </c>
      <c r="N672" s="58" t="s">
        <v>221</v>
      </c>
      <c r="O672" s="58" t="s">
        <v>341</v>
      </c>
      <c r="P672" s="3">
        <v>240</v>
      </c>
      <c r="Q672" s="126">
        <v>45.6</v>
      </c>
      <c r="R672" s="126">
        <v>45.6</v>
      </c>
      <c r="S672" s="126">
        <v>45.6</v>
      </c>
    </row>
    <row r="673" spans="1:19" ht="18.75">
      <c r="A673" s="56"/>
      <c r="B673" s="56"/>
      <c r="C673" s="56"/>
      <c r="D673" s="56"/>
      <c r="E673" s="56"/>
      <c r="F673" s="56"/>
      <c r="G673" s="51"/>
      <c r="H673" s="70" t="s">
        <v>578</v>
      </c>
      <c r="I673" s="5">
        <v>670</v>
      </c>
      <c r="J673" s="15">
        <v>1</v>
      </c>
      <c r="K673" s="11">
        <v>6</v>
      </c>
      <c r="L673" s="57" t="s">
        <v>225</v>
      </c>
      <c r="M673" s="58" t="s">
        <v>217</v>
      </c>
      <c r="N673" s="58" t="s">
        <v>229</v>
      </c>
      <c r="O673" s="58" t="s">
        <v>261</v>
      </c>
      <c r="P673" s="3"/>
      <c r="Q673" s="126">
        <f aca="true" t="shared" si="71" ref="Q673:S674">Q674</f>
        <v>20</v>
      </c>
      <c r="R673" s="126">
        <f t="shared" si="71"/>
        <v>20</v>
      </c>
      <c r="S673" s="126">
        <f t="shared" si="71"/>
        <v>20</v>
      </c>
    </row>
    <row r="674" spans="1:19" ht="31.5">
      <c r="A674" s="56"/>
      <c r="B674" s="56"/>
      <c r="C674" s="56"/>
      <c r="D674" s="56"/>
      <c r="E674" s="56"/>
      <c r="F674" s="56"/>
      <c r="G674" s="51"/>
      <c r="H674" s="2" t="s">
        <v>579</v>
      </c>
      <c r="I674" s="5">
        <v>670</v>
      </c>
      <c r="J674" s="4">
        <v>1</v>
      </c>
      <c r="K674" s="11">
        <v>6</v>
      </c>
      <c r="L674" s="57" t="s">
        <v>225</v>
      </c>
      <c r="M674" s="58" t="s">
        <v>217</v>
      </c>
      <c r="N674" s="58" t="s">
        <v>221</v>
      </c>
      <c r="O674" s="58" t="s">
        <v>261</v>
      </c>
      <c r="P674" s="3"/>
      <c r="Q674" s="126">
        <f t="shared" si="71"/>
        <v>20</v>
      </c>
      <c r="R674" s="126">
        <f t="shared" si="71"/>
        <v>20</v>
      </c>
      <c r="S674" s="126">
        <f t="shared" si="71"/>
        <v>20</v>
      </c>
    </row>
    <row r="675" spans="1:19" ht="18.75">
      <c r="A675" s="56"/>
      <c r="B675" s="56"/>
      <c r="C675" s="56"/>
      <c r="D675" s="56"/>
      <c r="E675" s="56"/>
      <c r="F675" s="56"/>
      <c r="G675" s="51"/>
      <c r="H675" s="2" t="s">
        <v>459</v>
      </c>
      <c r="I675" s="5">
        <v>670</v>
      </c>
      <c r="J675" s="4">
        <v>1</v>
      </c>
      <c r="K675" s="11">
        <v>6</v>
      </c>
      <c r="L675" s="57" t="s">
        <v>225</v>
      </c>
      <c r="M675" s="58" t="s">
        <v>217</v>
      </c>
      <c r="N675" s="58" t="s">
        <v>221</v>
      </c>
      <c r="O675" s="58" t="s">
        <v>512</v>
      </c>
      <c r="P675" s="3"/>
      <c r="Q675" s="126">
        <f>Q676+Q677</f>
        <v>20</v>
      </c>
      <c r="R675" s="126">
        <f>R676+R677</f>
        <v>20</v>
      </c>
      <c r="S675" s="126">
        <f>S676+S677</f>
        <v>20</v>
      </c>
    </row>
    <row r="676" spans="1:19" ht="18.75">
      <c r="A676" s="56"/>
      <c r="B676" s="56"/>
      <c r="C676" s="56"/>
      <c r="D676" s="56"/>
      <c r="E676" s="56"/>
      <c r="F676" s="56"/>
      <c r="G676" s="51"/>
      <c r="H676" s="2" t="s">
        <v>299</v>
      </c>
      <c r="I676" s="9">
        <v>670</v>
      </c>
      <c r="J676" s="11">
        <v>1</v>
      </c>
      <c r="K676" s="11">
        <v>6</v>
      </c>
      <c r="L676" s="57" t="s">
        <v>225</v>
      </c>
      <c r="M676" s="58" t="s">
        <v>217</v>
      </c>
      <c r="N676" s="58" t="s">
        <v>221</v>
      </c>
      <c r="O676" s="58" t="s">
        <v>512</v>
      </c>
      <c r="P676" s="3">
        <v>240</v>
      </c>
      <c r="Q676" s="126">
        <v>20</v>
      </c>
      <c r="R676" s="126">
        <v>20</v>
      </c>
      <c r="S676" s="126">
        <v>20</v>
      </c>
    </row>
    <row r="677" spans="1:19" ht="18.75" hidden="1">
      <c r="A677" s="56"/>
      <c r="B677" s="56"/>
      <c r="C677" s="56"/>
      <c r="D677" s="56"/>
      <c r="E677" s="56"/>
      <c r="F677" s="56"/>
      <c r="G677" s="51"/>
      <c r="H677" s="2" t="s">
        <v>299</v>
      </c>
      <c r="I677" s="9">
        <v>670</v>
      </c>
      <c r="J677" s="11">
        <v>1</v>
      </c>
      <c r="K677" s="11">
        <v>6</v>
      </c>
      <c r="L677" s="57" t="s">
        <v>225</v>
      </c>
      <c r="M677" s="58" t="s">
        <v>217</v>
      </c>
      <c r="N677" s="58" t="s">
        <v>221</v>
      </c>
      <c r="O677" s="58" t="s">
        <v>512</v>
      </c>
      <c r="P677" s="3">
        <v>850</v>
      </c>
      <c r="Q677" s="126">
        <v>0</v>
      </c>
      <c r="R677" s="126">
        <v>0</v>
      </c>
      <c r="S677" s="126">
        <v>0</v>
      </c>
    </row>
    <row r="678" spans="1:19" s="113" customFormat="1" ht="19.5">
      <c r="A678" s="83"/>
      <c r="B678" s="83"/>
      <c r="C678" s="83"/>
      <c r="D678" s="83"/>
      <c r="E678" s="83"/>
      <c r="F678" s="83"/>
      <c r="G678" s="84"/>
      <c r="H678" s="227" t="s">
        <v>206</v>
      </c>
      <c r="I678" s="251">
        <v>670</v>
      </c>
      <c r="J678" s="86">
        <v>1</v>
      </c>
      <c r="K678" s="86">
        <v>13</v>
      </c>
      <c r="L678" s="87"/>
      <c r="M678" s="88"/>
      <c r="N678" s="88"/>
      <c r="O678" s="88"/>
      <c r="P678" s="93"/>
      <c r="Q678" s="127">
        <f>Q679</f>
        <v>17403.5</v>
      </c>
      <c r="R678" s="127">
        <f aca="true" t="shared" si="72" ref="R678:S680">R679</f>
        <v>18233.2</v>
      </c>
      <c r="S678" s="127">
        <f t="shared" si="72"/>
        <v>17733.2</v>
      </c>
    </row>
    <row r="679" spans="1:19" ht="31.5">
      <c r="A679" s="56"/>
      <c r="B679" s="56"/>
      <c r="C679" s="56"/>
      <c r="D679" s="56"/>
      <c r="E679" s="56"/>
      <c r="F679" s="56"/>
      <c r="G679" s="51"/>
      <c r="H679" s="2" t="s">
        <v>573</v>
      </c>
      <c r="I679" s="5">
        <v>670</v>
      </c>
      <c r="J679" s="4">
        <v>1</v>
      </c>
      <c r="K679" s="11">
        <v>13</v>
      </c>
      <c r="L679" s="57" t="s">
        <v>225</v>
      </c>
      <c r="M679" s="58" t="s">
        <v>220</v>
      </c>
      <c r="N679" s="58" t="s">
        <v>229</v>
      </c>
      <c r="O679" s="58" t="s">
        <v>261</v>
      </c>
      <c r="P679" s="3"/>
      <c r="Q679" s="126">
        <f>Q680</f>
        <v>17403.5</v>
      </c>
      <c r="R679" s="126">
        <f t="shared" si="72"/>
        <v>18233.2</v>
      </c>
      <c r="S679" s="126">
        <f t="shared" si="72"/>
        <v>17733.2</v>
      </c>
    </row>
    <row r="680" spans="1:19" ht="31.5">
      <c r="A680" s="56"/>
      <c r="B680" s="56"/>
      <c r="C680" s="56"/>
      <c r="D680" s="56"/>
      <c r="E680" s="56"/>
      <c r="F680" s="56"/>
      <c r="G680" s="51"/>
      <c r="H680" s="2" t="s">
        <v>576</v>
      </c>
      <c r="I680" s="9">
        <v>670</v>
      </c>
      <c r="J680" s="11">
        <v>1</v>
      </c>
      <c r="K680" s="11">
        <v>13</v>
      </c>
      <c r="L680" s="57" t="s">
        <v>225</v>
      </c>
      <c r="M680" s="58" t="s">
        <v>368</v>
      </c>
      <c r="N680" s="58" t="s">
        <v>229</v>
      </c>
      <c r="O680" s="58" t="s">
        <v>261</v>
      </c>
      <c r="P680" s="3"/>
      <c r="Q680" s="126">
        <f>Q681</f>
        <v>17403.5</v>
      </c>
      <c r="R680" s="126">
        <f t="shared" si="72"/>
        <v>18233.2</v>
      </c>
      <c r="S680" s="126">
        <f t="shared" si="72"/>
        <v>17733.2</v>
      </c>
    </row>
    <row r="681" spans="1:19" ht="31.5">
      <c r="A681" s="56"/>
      <c r="B681" s="56"/>
      <c r="C681" s="56"/>
      <c r="D681" s="56"/>
      <c r="E681" s="56"/>
      <c r="F681" s="56"/>
      <c r="G681" s="51"/>
      <c r="H681" s="2" t="s">
        <v>296</v>
      </c>
      <c r="I681" s="9">
        <v>670</v>
      </c>
      <c r="J681" s="11">
        <v>1</v>
      </c>
      <c r="K681" s="11">
        <v>13</v>
      </c>
      <c r="L681" s="57" t="s">
        <v>225</v>
      </c>
      <c r="M681" s="58" t="s">
        <v>368</v>
      </c>
      <c r="N681" s="58" t="s">
        <v>236</v>
      </c>
      <c r="O681" s="58" t="s">
        <v>261</v>
      </c>
      <c r="P681" s="3"/>
      <c r="Q681" s="126">
        <f>Q682+Q687</f>
        <v>17403.5</v>
      </c>
      <c r="R681" s="126">
        <f>R682+R687</f>
        <v>18233.2</v>
      </c>
      <c r="S681" s="126">
        <f>S682+S687</f>
        <v>17733.2</v>
      </c>
    </row>
    <row r="682" spans="1:19" ht="18.75">
      <c r="A682" s="56"/>
      <c r="B682" s="56"/>
      <c r="C682" s="56"/>
      <c r="D682" s="56"/>
      <c r="E682" s="56"/>
      <c r="F682" s="56"/>
      <c r="G682" s="51"/>
      <c r="H682" s="2" t="s">
        <v>62</v>
      </c>
      <c r="I682" s="9">
        <v>670</v>
      </c>
      <c r="J682" s="11">
        <v>1</v>
      </c>
      <c r="K682" s="11">
        <v>13</v>
      </c>
      <c r="L682" s="57" t="s">
        <v>225</v>
      </c>
      <c r="M682" s="58" t="s">
        <v>368</v>
      </c>
      <c r="N682" s="58" t="s">
        <v>236</v>
      </c>
      <c r="O682" s="58" t="s">
        <v>63</v>
      </c>
      <c r="P682" s="3"/>
      <c r="Q682" s="126">
        <f>Q683+Q684+Q685+Q686</f>
        <v>10429.2</v>
      </c>
      <c r="R682" s="126">
        <f>R683+R684+R685+R686</f>
        <v>11258.9</v>
      </c>
      <c r="S682" s="126">
        <f>S683+S684+S685+S686</f>
        <v>10758.9</v>
      </c>
    </row>
    <row r="683" spans="1:19" ht="18.75">
      <c r="A683" s="56"/>
      <c r="B683" s="56"/>
      <c r="C683" s="56"/>
      <c r="D683" s="56"/>
      <c r="E683" s="56"/>
      <c r="F683" s="56"/>
      <c r="G683" s="51"/>
      <c r="H683" s="2" t="s">
        <v>302</v>
      </c>
      <c r="I683" s="9">
        <v>670</v>
      </c>
      <c r="J683" s="11">
        <v>1</v>
      </c>
      <c r="K683" s="11">
        <v>13</v>
      </c>
      <c r="L683" s="57" t="s">
        <v>225</v>
      </c>
      <c r="M683" s="58" t="s">
        <v>368</v>
      </c>
      <c r="N683" s="58" t="s">
        <v>236</v>
      </c>
      <c r="O683" s="58" t="s">
        <v>63</v>
      </c>
      <c r="P683" s="3">
        <v>110</v>
      </c>
      <c r="Q683" s="126">
        <f>9801.2-51+49</f>
        <v>9799.2</v>
      </c>
      <c r="R683" s="126">
        <v>10362.1</v>
      </c>
      <c r="S683" s="126">
        <v>10331</v>
      </c>
    </row>
    <row r="684" spans="1:19" ht="18.75">
      <c r="A684" s="56"/>
      <c r="B684" s="56"/>
      <c r="C684" s="56"/>
      <c r="D684" s="56"/>
      <c r="E684" s="56"/>
      <c r="F684" s="56"/>
      <c r="G684" s="51"/>
      <c r="H684" s="2" t="s">
        <v>299</v>
      </c>
      <c r="I684" s="9">
        <v>670</v>
      </c>
      <c r="J684" s="11">
        <v>1</v>
      </c>
      <c r="K684" s="11">
        <v>13</v>
      </c>
      <c r="L684" s="57" t="s">
        <v>225</v>
      </c>
      <c r="M684" s="58" t="s">
        <v>368</v>
      </c>
      <c r="N684" s="58" t="s">
        <v>236</v>
      </c>
      <c r="O684" s="58" t="s">
        <v>63</v>
      </c>
      <c r="P684" s="3">
        <v>240</v>
      </c>
      <c r="Q684" s="126">
        <v>628</v>
      </c>
      <c r="R684" s="126">
        <f>1346.8-450</f>
        <v>896.8</v>
      </c>
      <c r="S684" s="126">
        <f>627.9-200</f>
        <v>427.9</v>
      </c>
    </row>
    <row r="685" spans="1:19" ht="18.75">
      <c r="A685" s="56"/>
      <c r="B685" s="56"/>
      <c r="C685" s="56"/>
      <c r="D685" s="56"/>
      <c r="E685" s="56"/>
      <c r="F685" s="56"/>
      <c r="G685" s="51"/>
      <c r="H685" s="2" t="s">
        <v>304</v>
      </c>
      <c r="I685" s="9">
        <v>670</v>
      </c>
      <c r="J685" s="11">
        <v>1</v>
      </c>
      <c r="K685" s="11">
        <v>13</v>
      </c>
      <c r="L685" s="57" t="s">
        <v>225</v>
      </c>
      <c r="M685" s="58" t="s">
        <v>368</v>
      </c>
      <c r="N685" s="58" t="s">
        <v>236</v>
      </c>
      <c r="O685" s="58" t="s">
        <v>63</v>
      </c>
      <c r="P685" s="3">
        <v>320</v>
      </c>
      <c r="Q685" s="126">
        <v>2</v>
      </c>
      <c r="R685" s="126">
        <v>0</v>
      </c>
      <c r="S685" s="126">
        <v>0</v>
      </c>
    </row>
    <row r="686" spans="1:19" ht="18.75" hidden="1">
      <c r="A686" s="56"/>
      <c r="B686" s="56"/>
      <c r="C686" s="56"/>
      <c r="D686" s="56"/>
      <c r="E686" s="56"/>
      <c r="F686" s="56"/>
      <c r="G686" s="51"/>
      <c r="H686" s="2" t="s">
        <v>300</v>
      </c>
      <c r="I686" s="9">
        <v>670</v>
      </c>
      <c r="J686" s="11">
        <v>1</v>
      </c>
      <c r="K686" s="11">
        <v>13</v>
      </c>
      <c r="L686" s="57" t="s">
        <v>225</v>
      </c>
      <c r="M686" s="58" t="s">
        <v>368</v>
      </c>
      <c r="N686" s="58" t="s">
        <v>236</v>
      </c>
      <c r="O686" s="58" t="s">
        <v>63</v>
      </c>
      <c r="P686" s="3">
        <v>850</v>
      </c>
      <c r="Q686" s="126">
        <v>0</v>
      </c>
      <c r="R686" s="126">
        <v>0</v>
      </c>
      <c r="S686" s="126">
        <v>0</v>
      </c>
    </row>
    <row r="687" spans="1:19" ht="31.5">
      <c r="A687" s="56"/>
      <c r="B687" s="56"/>
      <c r="C687" s="56"/>
      <c r="D687" s="56"/>
      <c r="E687" s="56"/>
      <c r="F687" s="56"/>
      <c r="G687" s="51"/>
      <c r="H687" s="2" t="s">
        <v>374</v>
      </c>
      <c r="I687" s="9">
        <v>670</v>
      </c>
      <c r="J687" s="11">
        <v>1</v>
      </c>
      <c r="K687" s="11">
        <v>13</v>
      </c>
      <c r="L687" s="57" t="s">
        <v>225</v>
      </c>
      <c r="M687" s="58" t="s">
        <v>368</v>
      </c>
      <c r="N687" s="58" t="s">
        <v>236</v>
      </c>
      <c r="O687" s="58" t="s">
        <v>373</v>
      </c>
      <c r="P687" s="3"/>
      <c r="Q687" s="126">
        <f>Q688</f>
        <v>6974.3</v>
      </c>
      <c r="R687" s="126">
        <f>R688</f>
        <v>6974.3</v>
      </c>
      <c r="S687" s="126">
        <f>S688</f>
        <v>6974.3</v>
      </c>
    </row>
    <row r="688" spans="1:19" ht="18.75">
      <c r="A688" s="56"/>
      <c r="B688" s="56"/>
      <c r="C688" s="56"/>
      <c r="D688" s="56"/>
      <c r="E688" s="56"/>
      <c r="F688" s="56"/>
      <c r="G688" s="51"/>
      <c r="H688" s="2" t="s">
        <v>302</v>
      </c>
      <c r="I688" s="9">
        <v>670</v>
      </c>
      <c r="J688" s="11">
        <v>1</v>
      </c>
      <c r="K688" s="11">
        <v>13</v>
      </c>
      <c r="L688" s="57" t="s">
        <v>225</v>
      </c>
      <c r="M688" s="58" t="s">
        <v>368</v>
      </c>
      <c r="N688" s="58" t="s">
        <v>236</v>
      </c>
      <c r="O688" s="58" t="s">
        <v>373</v>
      </c>
      <c r="P688" s="3">
        <v>110</v>
      </c>
      <c r="Q688" s="126">
        <v>6974.3</v>
      </c>
      <c r="R688" s="126">
        <v>6974.3</v>
      </c>
      <c r="S688" s="126">
        <v>6974.3</v>
      </c>
    </row>
    <row r="689" spans="1:19" s="111" customFormat="1" ht="16.5">
      <c r="A689" s="309"/>
      <c r="B689" s="309"/>
      <c r="C689" s="309"/>
      <c r="D689" s="309"/>
      <c r="E689" s="309"/>
      <c r="F689" s="309"/>
      <c r="G689" s="116"/>
      <c r="H689" s="320" t="s">
        <v>490</v>
      </c>
      <c r="I689" s="328">
        <v>671</v>
      </c>
      <c r="J689" s="10"/>
      <c r="K689" s="10"/>
      <c r="L689" s="81"/>
      <c r="M689" s="82"/>
      <c r="N689" s="82"/>
      <c r="O689" s="82"/>
      <c r="P689" s="18"/>
      <c r="Q689" s="213">
        <f>Q690+Q714+Q720</f>
        <v>8499.300000000001</v>
      </c>
      <c r="R689" s="213">
        <f>R690+R714+R720</f>
        <v>9063.6</v>
      </c>
      <c r="S689" s="213">
        <f>S690+S714+S720</f>
        <v>9033.1</v>
      </c>
    </row>
    <row r="690" spans="1:19" s="113" customFormat="1" ht="19.5">
      <c r="A690" s="83"/>
      <c r="B690" s="83"/>
      <c r="C690" s="83"/>
      <c r="D690" s="83"/>
      <c r="E690" s="83"/>
      <c r="F690" s="83"/>
      <c r="G690" s="84"/>
      <c r="H690" s="227" t="s">
        <v>235</v>
      </c>
      <c r="I690" s="251">
        <v>671</v>
      </c>
      <c r="J690" s="86">
        <v>1</v>
      </c>
      <c r="K690" s="86"/>
      <c r="L690" s="87"/>
      <c r="M690" s="88"/>
      <c r="N690" s="88"/>
      <c r="O690" s="88"/>
      <c r="P690" s="93"/>
      <c r="Q690" s="127">
        <f aca="true" t="shared" si="73" ref="Q690:S691">Q691</f>
        <v>6690.200000000001</v>
      </c>
      <c r="R690" s="127">
        <f t="shared" si="73"/>
        <v>6663.6</v>
      </c>
      <c r="S690" s="127">
        <f t="shared" si="73"/>
        <v>6633.1</v>
      </c>
    </row>
    <row r="691" spans="1:19" s="113" customFormat="1" ht="19.5">
      <c r="A691" s="83"/>
      <c r="B691" s="83"/>
      <c r="C691" s="83"/>
      <c r="D691" s="83"/>
      <c r="E691" s="83"/>
      <c r="F691" s="83"/>
      <c r="G691" s="84"/>
      <c r="H691" s="227" t="s">
        <v>206</v>
      </c>
      <c r="I691" s="251">
        <v>671</v>
      </c>
      <c r="J691" s="86">
        <v>1</v>
      </c>
      <c r="K691" s="86">
        <v>13</v>
      </c>
      <c r="L691" s="87"/>
      <c r="M691" s="88"/>
      <c r="N691" s="88"/>
      <c r="O691" s="88"/>
      <c r="P691" s="93"/>
      <c r="Q691" s="127">
        <f t="shared" si="73"/>
        <v>6690.200000000001</v>
      </c>
      <c r="R691" s="127">
        <f t="shared" si="73"/>
        <v>6663.6</v>
      </c>
      <c r="S691" s="127">
        <f t="shared" si="73"/>
        <v>6633.1</v>
      </c>
    </row>
    <row r="692" spans="1:19" ht="31.5">
      <c r="A692" s="50"/>
      <c r="B692" s="50"/>
      <c r="C692" s="50"/>
      <c r="D692" s="50"/>
      <c r="E692" s="50"/>
      <c r="F692" s="50"/>
      <c r="G692" s="51"/>
      <c r="H692" s="2" t="s">
        <v>580</v>
      </c>
      <c r="I692" s="9">
        <v>671</v>
      </c>
      <c r="J692" s="11">
        <v>1</v>
      </c>
      <c r="K692" s="11">
        <v>13</v>
      </c>
      <c r="L692" s="57" t="s">
        <v>513</v>
      </c>
      <c r="M692" s="58" t="s">
        <v>220</v>
      </c>
      <c r="N692" s="58" t="s">
        <v>229</v>
      </c>
      <c r="O692" s="58" t="s">
        <v>261</v>
      </c>
      <c r="P692" s="3"/>
      <c r="Q692" s="126">
        <f>Q693+Q696+Q699+Q703+Q711</f>
        <v>6690.200000000001</v>
      </c>
      <c r="R692" s="126">
        <f>R693+R696+R699+R703+R711</f>
        <v>6663.6</v>
      </c>
      <c r="S692" s="126">
        <f>S693+S696+S699+S703+S711</f>
        <v>6633.1</v>
      </c>
    </row>
    <row r="693" spans="1:19" ht="18.75">
      <c r="A693" s="50"/>
      <c r="B693" s="50"/>
      <c r="C693" s="50"/>
      <c r="D693" s="50"/>
      <c r="E693" s="50"/>
      <c r="F693" s="50"/>
      <c r="G693" s="51"/>
      <c r="H693" s="2" t="s">
        <v>417</v>
      </c>
      <c r="I693" s="9">
        <v>671</v>
      </c>
      <c r="J693" s="11">
        <v>1</v>
      </c>
      <c r="K693" s="11">
        <v>13</v>
      </c>
      <c r="L693" s="57" t="s">
        <v>513</v>
      </c>
      <c r="M693" s="58" t="s">
        <v>220</v>
      </c>
      <c r="N693" s="58" t="s">
        <v>221</v>
      </c>
      <c r="O693" s="58" t="s">
        <v>261</v>
      </c>
      <c r="P693" s="3"/>
      <c r="Q693" s="126">
        <f aca="true" t="shared" si="74" ref="Q693:S694">Q694</f>
        <v>646.5</v>
      </c>
      <c r="R693" s="126">
        <f t="shared" si="74"/>
        <v>426.5</v>
      </c>
      <c r="S693" s="126">
        <f t="shared" si="74"/>
        <v>426.5</v>
      </c>
    </row>
    <row r="694" spans="1:19" ht="18.75">
      <c r="A694" s="50"/>
      <c r="B694" s="50"/>
      <c r="C694" s="50"/>
      <c r="D694" s="50"/>
      <c r="E694" s="50"/>
      <c r="F694" s="50"/>
      <c r="G694" s="51"/>
      <c r="H694" s="2" t="s">
        <v>74</v>
      </c>
      <c r="I694" s="9">
        <v>671</v>
      </c>
      <c r="J694" s="11">
        <v>1</v>
      </c>
      <c r="K694" s="11">
        <v>13</v>
      </c>
      <c r="L694" s="57" t="s">
        <v>513</v>
      </c>
      <c r="M694" s="58" t="s">
        <v>220</v>
      </c>
      <c r="N694" s="58" t="s">
        <v>221</v>
      </c>
      <c r="O694" s="58" t="s">
        <v>46</v>
      </c>
      <c r="P694" s="3"/>
      <c r="Q694" s="126">
        <f t="shared" si="74"/>
        <v>646.5</v>
      </c>
      <c r="R694" s="126">
        <f t="shared" si="74"/>
        <v>426.5</v>
      </c>
      <c r="S694" s="126">
        <f t="shared" si="74"/>
        <v>426.5</v>
      </c>
    </row>
    <row r="695" spans="1:19" ht="18.75">
      <c r="A695" s="50"/>
      <c r="B695" s="50"/>
      <c r="C695" s="50"/>
      <c r="D695" s="50"/>
      <c r="E695" s="50"/>
      <c r="F695" s="50"/>
      <c r="G695" s="51"/>
      <c r="H695" s="2" t="s">
        <v>299</v>
      </c>
      <c r="I695" s="9">
        <v>671</v>
      </c>
      <c r="J695" s="11">
        <v>1</v>
      </c>
      <c r="K695" s="11">
        <v>13</v>
      </c>
      <c r="L695" s="57" t="s">
        <v>513</v>
      </c>
      <c r="M695" s="58" t="s">
        <v>220</v>
      </c>
      <c r="N695" s="58" t="s">
        <v>221</v>
      </c>
      <c r="O695" s="58" t="s">
        <v>46</v>
      </c>
      <c r="P695" s="3">
        <v>240</v>
      </c>
      <c r="Q695" s="126">
        <f>350+45+31.5+220</f>
        <v>646.5</v>
      </c>
      <c r="R695" s="126">
        <f>350+76.5</f>
        <v>426.5</v>
      </c>
      <c r="S695" s="126">
        <f>350+76.5</f>
        <v>426.5</v>
      </c>
    </row>
    <row r="696" spans="1:19" ht="31.5">
      <c r="A696" s="50"/>
      <c r="B696" s="50"/>
      <c r="C696" s="50"/>
      <c r="D696" s="50"/>
      <c r="E696" s="50"/>
      <c r="F696" s="50"/>
      <c r="G696" s="51"/>
      <c r="H696" s="2" t="s">
        <v>418</v>
      </c>
      <c r="I696" s="9">
        <v>671</v>
      </c>
      <c r="J696" s="11">
        <v>1</v>
      </c>
      <c r="K696" s="11">
        <v>13</v>
      </c>
      <c r="L696" s="57" t="s">
        <v>513</v>
      </c>
      <c r="M696" s="58" t="s">
        <v>220</v>
      </c>
      <c r="N696" s="58" t="s">
        <v>236</v>
      </c>
      <c r="O696" s="58" t="s">
        <v>261</v>
      </c>
      <c r="P696" s="3"/>
      <c r="Q696" s="126">
        <f aca="true" t="shared" si="75" ref="Q696:S697">Q697</f>
        <v>56</v>
      </c>
      <c r="R696" s="126">
        <f t="shared" si="75"/>
        <v>80</v>
      </c>
      <c r="S696" s="126">
        <f t="shared" si="75"/>
        <v>80</v>
      </c>
    </row>
    <row r="697" spans="1:19" ht="31.5">
      <c r="A697" s="50"/>
      <c r="B697" s="50"/>
      <c r="C697" s="50"/>
      <c r="D697" s="50"/>
      <c r="E697" s="50"/>
      <c r="F697" s="50"/>
      <c r="G697" s="51"/>
      <c r="H697" s="2" t="s">
        <v>419</v>
      </c>
      <c r="I697" s="9">
        <v>671</v>
      </c>
      <c r="J697" s="11">
        <v>1</v>
      </c>
      <c r="K697" s="11">
        <v>13</v>
      </c>
      <c r="L697" s="57" t="s">
        <v>513</v>
      </c>
      <c r="M697" s="58" t="s">
        <v>220</v>
      </c>
      <c r="N697" s="58" t="s">
        <v>236</v>
      </c>
      <c r="O697" s="58" t="s">
        <v>45</v>
      </c>
      <c r="P697" s="3"/>
      <c r="Q697" s="126">
        <f t="shared" si="75"/>
        <v>56</v>
      </c>
      <c r="R697" s="126">
        <f t="shared" si="75"/>
        <v>80</v>
      </c>
      <c r="S697" s="126">
        <f t="shared" si="75"/>
        <v>80</v>
      </c>
    </row>
    <row r="698" spans="1:19" ht="18.75">
      <c r="A698" s="50"/>
      <c r="B698" s="50"/>
      <c r="C698" s="50"/>
      <c r="D698" s="50"/>
      <c r="E698" s="50"/>
      <c r="F698" s="50"/>
      <c r="G698" s="51"/>
      <c r="H698" s="2" t="s">
        <v>299</v>
      </c>
      <c r="I698" s="9">
        <v>671</v>
      </c>
      <c r="J698" s="11">
        <v>1</v>
      </c>
      <c r="K698" s="11">
        <v>13</v>
      </c>
      <c r="L698" s="57" t="s">
        <v>513</v>
      </c>
      <c r="M698" s="58" t="s">
        <v>220</v>
      </c>
      <c r="N698" s="58" t="s">
        <v>236</v>
      </c>
      <c r="O698" s="58" t="s">
        <v>45</v>
      </c>
      <c r="P698" s="3">
        <v>240</v>
      </c>
      <c r="Q698" s="126">
        <f>80-30+6</f>
        <v>56</v>
      </c>
      <c r="R698" s="126">
        <v>80</v>
      </c>
      <c r="S698" s="126">
        <v>80</v>
      </c>
    </row>
    <row r="699" spans="1:19" ht="31.5" hidden="1">
      <c r="A699" s="50"/>
      <c r="B699" s="50"/>
      <c r="C699" s="50"/>
      <c r="D699" s="50"/>
      <c r="E699" s="50"/>
      <c r="F699" s="50"/>
      <c r="G699" s="51"/>
      <c r="H699" s="2" t="s">
        <v>758</v>
      </c>
      <c r="I699" s="9">
        <v>671</v>
      </c>
      <c r="J699" s="11">
        <v>1</v>
      </c>
      <c r="K699" s="11">
        <v>13</v>
      </c>
      <c r="L699" s="57" t="s">
        <v>513</v>
      </c>
      <c r="M699" s="58" t="s">
        <v>220</v>
      </c>
      <c r="N699" s="58" t="s">
        <v>237</v>
      </c>
      <c r="O699" s="58" t="s">
        <v>261</v>
      </c>
      <c r="P699" s="3"/>
      <c r="Q699" s="126">
        <f>Q700</f>
        <v>0</v>
      </c>
      <c r="R699" s="126">
        <f>R700</f>
        <v>0</v>
      </c>
      <c r="S699" s="126">
        <f>S700</f>
        <v>0</v>
      </c>
    </row>
    <row r="700" spans="1:19" ht="18.75" hidden="1">
      <c r="A700" s="50"/>
      <c r="B700" s="50"/>
      <c r="C700" s="50"/>
      <c r="D700" s="50"/>
      <c r="E700" s="50"/>
      <c r="F700" s="50"/>
      <c r="G700" s="51"/>
      <c r="H700" s="108" t="s">
        <v>759</v>
      </c>
      <c r="I700" s="9">
        <v>671</v>
      </c>
      <c r="J700" s="11">
        <v>1</v>
      </c>
      <c r="K700" s="11">
        <v>13</v>
      </c>
      <c r="L700" s="11">
        <v>15</v>
      </c>
      <c r="M700" s="58" t="s">
        <v>220</v>
      </c>
      <c r="N700" s="58" t="s">
        <v>237</v>
      </c>
      <c r="O700" s="58" t="s">
        <v>19</v>
      </c>
      <c r="P700" s="3"/>
      <c r="Q700" s="126">
        <f>Q701+Q702</f>
        <v>0</v>
      </c>
      <c r="R700" s="126">
        <f>R701+R702</f>
        <v>0</v>
      </c>
      <c r="S700" s="126">
        <f>S701+S702</f>
        <v>0</v>
      </c>
    </row>
    <row r="701" spans="1:19" ht="18.75" hidden="1">
      <c r="A701" s="50"/>
      <c r="B701" s="50"/>
      <c r="C701" s="50"/>
      <c r="D701" s="50"/>
      <c r="E701" s="50"/>
      <c r="F701" s="50"/>
      <c r="G701" s="51"/>
      <c r="H701" s="2" t="s">
        <v>299</v>
      </c>
      <c r="I701" s="9">
        <v>671</v>
      </c>
      <c r="J701" s="11">
        <v>1</v>
      </c>
      <c r="K701" s="11">
        <v>13</v>
      </c>
      <c r="L701" s="11">
        <v>15</v>
      </c>
      <c r="M701" s="58" t="s">
        <v>220</v>
      </c>
      <c r="N701" s="58" t="s">
        <v>237</v>
      </c>
      <c r="O701" s="58" t="s">
        <v>19</v>
      </c>
      <c r="P701" s="3">
        <v>240</v>
      </c>
      <c r="Q701" s="126"/>
      <c r="R701" s="126"/>
      <c r="S701" s="126"/>
    </row>
    <row r="702" spans="1:19" ht="18.75" hidden="1">
      <c r="A702" s="50"/>
      <c r="B702" s="50"/>
      <c r="C702" s="50"/>
      <c r="D702" s="50"/>
      <c r="E702" s="50"/>
      <c r="F702" s="50"/>
      <c r="G702" s="51"/>
      <c r="H702" s="2" t="s">
        <v>300</v>
      </c>
      <c r="I702" s="9">
        <v>671</v>
      </c>
      <c r="J702" s="11">
        <v>1</v>
      </c>
      <c r="K702" s="11">
        <v>13</v>
      </c>
      <c r="L702" s="11">
        <v>15</v>
      </c>
      <c r="M702" s="58" t="s">
        <v>220</v>
      </c>
      <c r="N702" s="58" t="s">
        <v>237</v>
      </c>
      <c r="O702" s="58" t="s">
        <v>19</v>
      </c>
      <c r="P702" s="3">
        <v>850</v>
      </c>
      <c r="Q702" s="126"/>
      <c r="R702" s="126"/>
      <c r="S702" s="126"/>
    </row>
    <row r="703" spans="1:19" ht="18.75">
      <c r="A703" s="50"/>
      <c r="B703" s="50"/>
      <c r="C703" s="50"/>
      <c r="D703" s="50"/>
      <c r="E703" s="50"/>
      <c r="F703" s="50"/>
      <c r="G703" s="51"/>
      <c r="H703" s="2" t="s">
        <v>421</v>
      </c>
      <c r="I703" s="9">
        <v>671</v>
      </c>
      <c r="J703" s="11">
        <v>1</v>
      </c>
      <c r="K703" s="11">
        <v>13</v>
      </c>
      <c r="L703" s="11">
        <v>15</v>
      </c>
      <c r="M703" s="58" t="s">
        <v>220</v>
      </c>
      <c r="N703" s="58" t="s">
        <v>232</v>
      </c>
      <c r="O703" s="58" t="s">
        <v>261</v>
      </c>
      <c r="P703" s="3"/>
      <c r="Q703" s="126">
        <f>Q704+Q709</f>
        <v>5960.6</v>
      </c>
      <c r="R703" s="126">
        <f>R704+R709</f>
        <v>6098.5</v>
      </c>
      <c r="S703" s="126">
        <f>S704+S709</f>
        <v>6068</v>
      </c>
    </row>
    <row r="704" spans="1:19" ht="18.75">
      <c r="A704" s="50"/>
      <c r="B704" s="50"/>
      <c r="C704" s="50"/>
      <c r="D704" s="50"/>
      <c r="E704" s="50"/>
      <c r="F704" s="50"/>
      <c r="G704" s="51"/>
      <c r="H704" s="2" t="s">
        <v>60</v>
      </c>
      <c r="I704" s="9">
        <v>671</v>
      </c>
      <c r="J704" s="4">
        <v>1</v>
      </c>
      <c r="K704" s="11">
        <v>13</v>
      </c>
      <c r="L704" s="11">
        <v>15</v>
      </c>
      <c r="M704" s="58" t="s">
        <v>220</v>
      </c>
      <c r="N704" s="58" t="s">
        <v>232</v>
      </c>
      <c r="O704" s="58" t="s">
        <v>264</v>
      </c>
      <c r="P704" s="3"/>
      <c r="Q704" s="126">
        <f>Q705+Q706+Q707+Q708</f>
        <v>3564.8</v>
      </c>
      <c r="R704" s="126">
        <f>R705+R706+R707+R708</f>
        <v>3702.7</v>
      </c>
      <c r="S704" s="126">
        <f>S705+S706+S707+S708</f>
        <v>3672.2</v>
      </c>
    </row>
    <row r="705" spans="1:19" ht="18.75">
      <c r="A705" s="50"/>
      <c r="B705" s="50"/>
      <c r="C705" s="50"/>
      <c r="D705" s="50"/>
      <c r="E705" s="50"/>
      <c r="F705" s="50"/>
      <c r="G705" s="51"/>
      <c r="H705" s="2" t="s">
        <v>204</v>
      </c>
      <c r="I705" s="9">
        <v>671</v>
      </c>
      <c r="J705" s="4">
        <v>1</v>
      </c>
      <c r="K705" s="11">
        <v>13</v>
      </c>
      <c r="L705" s="11">
        <v>15</v>
      </c>
      <c r="M705" s="58" t="s">
        <v>220</v>
      </c>
      <c r="N705" s="58" t="s">
        <v>232</v>
      </c>
      <c r="O705" s="58" t="s">
        <v>264</v>
      </c>
      <c r="P705" s="3">
        <v>120</v>
      </c>
      <c r="Q705" s="126">
        <f>3378.8-6</f>
        <v>3372.8</v>
      </c>
      <c r="R705" s="126">
        <f>3560.7-12</f>
        <v>3548.7</v>
      </c>
      <c r="S705" s="126">
        <v>3548.7</v>
      </c>
    </row>
    <row r="706" spans="1:19" ht="18.75">
      <c r="A706" s="50"/>
      <c r="B706" s="50"/>
      <c r="C706" s="50"/>
      <c r="D706" s="50"/>
      <c r="E706" s="50"/>
      <c r="F706" s="50"/>
      <c r="G706" s="51"/>
      <c r="H706" s="2" t="s">
        <v>299</v>
      </c>
      <c r="I706" s="9">
        <v>671</v>
      </c>
      <c r="J706" s="4">
        <v>1</v>
      </c>
      <c r="K706" s="11">
        <v>13</v>
      </c>
      <c r="L706" s="11">
        <v>15</v>
      </c>
      <c r="M706" s="58" t="s">
        <v>220</v>
      </c>
      <c r="N706" s="58" t="s">
        <v>232</v>
      </c>
      <c r="O706" s="58" t="s">
        <v>264</v>
      </c>
      <c r="P706" s="3">
        <v>240</v>
      </c>
      <c r="Q706" s="126">
        <f>218.5-15-0.1-31.5+4+16</f>
        <v>191.9</v>
      </c>
      <c r="R706" s="126">
        <f>218.5-17-47.5</f>
        <v>154</v>
      </c>
      <c r="S706" s="126">
        <f>200-16.5-60</f>
        <v>123.5</v>
      </c>
    </row>
    <row r="707" spans="1:19" ht="18.75" hidden="1">
      <c r="A707" s="50"/>
      <c r="B707" s="50"/>
      <c r="C707" s="50"/>
      <c r="D707" s="50"/>
      <c r="E707" s="50"/>
      <c r="F707" s="50"/>
      <c r="G707" s="51"/>
      <c r="H707" s="2" t="s">
        <v>306</v>
      </c>
      <c r="I707" s="9">
        <v>671</v>
      </c>
      <c r="J707" s="4">
        <v>1</v>
      </c>
      <c r="K707" s="11">
        <v>13</v>
      </c>
      <c r="L707" s="11">
        <v>15</v>
      </c>
      <c r="M707" s="58" t="s">
        <v>220</v>
      </c>
      <c r="N707" s="58" t="s">
        <v>232</v>
      </c>
      <c r="O707" s="58" t="s">
        <v>264</v>
      </c>
      <c r="P707" s="3">
        <v>830</v>
      </c>
      <c r="Q707" s="126"/>
      <c r="R707" s="419"/>
      <c r="S707" s="419"/>
    </row>
    <row r="708" spans="1:19" ht="18.75">
      <c r="A708" s="50"/>
      <c r="B708" s="50"/>
      <c r="C708" s="50"/>
      <c r="D708" s="50"/>
      <c r="E708" s="50"/>
      <c r="F708" s="50"/>
      <c r="G708" s="51"/>
      <c r="H708" s="2" t="s">
        <v>300</v>
      </c>
      <c r="I708" s="9">
        <v>671</v>
      </c>
      <c r="J708" s="4">
        <v>1</v>
      </c>
      <c r="K708" s="11">
        <v>13</v>
      </c>
      <c r="L708" s="11">
        <v>15</v>
      </c>
      <c r="M708" s="58" t="s">
        <v>220</v>
      </c>
      <c r="N708" s="58" t="s">
        <v>232</v>
      </c>
      <c r="O708" s="58" t="s">
        <v>264</v>
      </c>
      <c r="P708" s="3">
        <v>850</v>
      </c>
      <c r="Q708" s="126">
        <f>0.1</f>
        <v>0.1</v>
      </c>
      <c r="R708" s="126">
        <v>0</v>
      </c>
      <c r="S708" s="126">
        <v>0</v>
      </c>
    </row>
    <row r="709" spans="1:19" ht="31.5">
      <c r="A709" s="50"/>
      <c r="B709" s="50"/>
      <c r="C709" s="50"/>
      <c r="D709" s="50"/>
      <c r="E709" s="50"/>
      <c r="F709" s="50"/>
      <c r="G709" s="51"/>
      <c r="H709" s="2" t="s">
        <v>374</v>
      </c>
      <c r="I709" s="9">
        <v>671</v>
      </c>
      <c r="J709" s="4">
        <v>1</v>
      </c>
      <c r="K709" s="11">
        <v>13</v>
      </c>
      <c r="L709" s="11">
        <v>15</v>
      </c>
      <c r="M709" s="58" t="s">
        <v>220</v>
      </c>
      <c r="N709" s="58" t="s">
        <v>232</v>
      </c>
      <c r="O709" s="58" t="s">
        <v>373</v>
      </c>
      <c r="P709" s="3"/>
      <c r="Q709" s="126">
        <f>Q710</f>
        <v>2395.8</v>
      </c>
      <c r="R709" s="126">
        <f>R710</f>
        <v>2395.8</v>
      </c>
      <c r="S709" s="126">
        <f>S710</f>
        <v>2395.8</v>
      </c>
    </row>
    <row r="710" spans="1:19" ht="18.75">
      <c r="A710" s="50"/>
      <c r="B710" s="50"/>
      <c r="C710" s="50"/>
      <c r="D710" s="50"/>
      <c r="E710" s="50"/>
      <c r="F710" s="50"/>
      <c r="G710" s="51"/>
      <c r="H710" s="2" t="s">
        <v>204</v>
      </c>
      <c r="I710" s="9">
        <v>671</v>
      </c>
      <c r="J710" s="4">
        <v>1</v>
      </c>
      <c r="K710" s="11">
        <v>13</v>
      </c>
      <c r="L710" s="11">
        <v>15</v>
      </c>
      <c r="M710" s="58" t="s">
        <v>220</v>
      </c>
      <c r="N710" s="58" t="s">
        <v>232</v>
      </c>
      <c r="O710" s="58" t="s">
        <v>373</v>
      </c>
      <c r="P710" s="3">
        <v>120</v>
      </c>
      <c r="Q710" s="126">
        <v>2395.8</v>
      </c>
      <c r="R710" s="126">
        <v>2395.8</v>
      </c>
      <c r="S710" s="126">
        <v>2395.8</v>
      </c>
    </row>
    <row r="711" spans="1:19" ht="47.25">
      <c r="A711" s="50"/>
      <c r="B711" s="50"/>
      <c r="C711" s="50"/>
      <c r="D711" s="50"/>
      <c r="E711" s="50"/>
      <c r="F711" s="50"/>
      <c r="G711" s="51"/>
      <c r="H711" s="2" t="s">
        <v>415</v>
      </c>
      <c r="I711" s="9">
        <v>671</v>
      </c>
      <c r="J711" s="4">
        <v>1</v>
      </c>
      <c r="K711" s="11">
        <v>13</v>
      </c>
      <c r="L711" s="11">
        <v>15</v>
      </c>
      <c r="M711" s="58" t="s">
        <v>220</v>
      </c>
      <c r="N711" s="58" t="s">
        <v>414</v>
      </c>
      <c r="O711" s="58" t="s">
        <v>261</v>
      </c>
      <c r="P711" s="3"/>
      <c r="Q711" s="126">
        <f aca="true" t="shared" si="76" ref="Q711:S712">Q712</f>
        <v>27.1</v>
      </c>
      <c r="R711" s="126">
        <f t="shared" si="76"/>
        <v>58.6</v>
      </c>
      <c r="S711" s="126">
        <f t="shared" si="76"/>
        <v>58.6</v>
      </c>
    </row>
    <row r="712" spans="1:19" ht="63">
      <c r="A712" s="50"/>
      <c r="B712" s="50"/>
      <c r="C712" s="50"/>
      <c r="D712" s="50"/>
      <c r="E712" s="50"/>
      <c r="F712" s="50"/>
      <c r="G712" s="51"/>
      <c r="H712" s="2" t="s">
        <v>32</v>
      </c>
      <c r="I712" s="9">
        <v>671</v>
      </c>
      <c r="J712" s="4">
        <v>1</v>
      </c>
      <c r="K712" s="11">
        <v>13</v>
      </c>
      <c r="L712" s="11">
        <v>15</v>
      </c>
      <c r="M712" s="58" t="s">
        <v>220</v>
      </c>
      <c r="N712" s="58" t="s">
        <v>414</v>
      </c>
      <c r="O712" s="58" t="s">
        <v>331</v>
      </c>
      <c r="P712" s="3"/>
      <c r="Q712" s="126">
        <f t="shared" si="76"/>
        <v>27.1</v>
      </c>
      <c r="R712" s="126">
        <f t="shared" si="76"/>
        <v>58.6</v>
      </c>
      <c r="S712" s="126">
        <f t="shared" si="76"/>
        <v>58.6</v>
      </c>
    </row>
    <row r="713" spans="1:19" ht="18.75">
      <c r="A713" s="50"/>
      <c r="B713" s="50"/>
      <c r="C713" s="50"/>
      <c r="D713" s="50"/>
      <c r="E713" s="50"/>
      <c r="F713" s="50"/>
      <c r="G713" s="51"/>
      <c r="H713" s="2" t="s">
        <v>299</v>
      </c>
      <c r="I713" s="5">
        <v>671</v>
      </c>
      <c r="J713" s="15">
        <v>1</v>
      </c>
      <c r="K713" s="11">
        <v>13</v>
      </c>
      <c r="L713" s="11">
        <v>15</v>
      </c>
      <c r="M713" s="58" t="s">
        <v>220</v>
      </c>
      <c r="N713" s="58" t="s">
        <v>414</v>
      </c>
      <c r="O713" s="58" t="s">
        <v>331</v>
      </c>
      <c r="P713" s="3">
        <v>240</v>
      </c>
      <c r="Q713" s="126">
        <f>36.2-9.1</f>
        <v>27.1</v>
      </c>
      <c r="R713" s="126">
        <v>58.6</v>
      </c>
      <c r="S713" s="126">
        <v>58.6</v>
      </c>
    </row>
    <row r="714" spans="1:19" s="113" customFormat="1" ht="19.5" hidden="1">
      <c r="A714" s="83"/>
      <c r="B714" s="83"/>
      <c r="C714" s="83"/>
      <c r="D714" s="83"/>
      <c r="E714" s="83"/>
      <c r="F714" s="83"/>
      <c r="G714" s="84"/>
      <c r="H714" s="227" t="s">
        <v>242</v>
      </c>
      <c r="I714" s="251">
        <v>671</v>
      </c>
      <c r="J714" s="95">
        <v>4</v>
      </c>
      <c r="K714" s="86"/>
      <c r="L714" s="86"/>
      <c r="M714" s="88"/>
      <c r="N714" s="88"/>
      <c r="O714" s="88"/>
      <c r="P714" s="93"/>
      <c r="Q714" s="127">
        <f>Q715</f>
        <v>0</v>
      </c>
      <c r="R714" s="127">
        <f aca="true" t="shared" si="77" ref="R714:S718">R715</f>
        <v>0</v>
      </c>
      <c r="S714" s="127">
        <f t="shared" si="77"/>
        <v>0</v>
      </c>
    </row>
    <row r="715" spans="1:19" s="113" customFormat="1" ht="19.5" hidden="1">
      <c r="A715" s="83"/>
      <c r="B715" s="83"/>
      <c r="C715" s="83"/>
      <c r="D715" s="83"/>
      <c r="E715" s="83"/>
      <c r="F715" s="83"/>
      <c r="G715" s="84"/>
      <c r="H715" s="227" t="s">
        <v>58</v>
      </c>
      <c r="I715" s="251">
        <v>671</v>
      </c>
      <c r="J715" s="95">
        <v>4</v>
      </c>
      <c r="K715" s="86">
        <v>9</v>
      </c>
      <c r="L715" s="86"/>
      <c r="M715" s="88"/>
      <c r="N715" s="88"/>
      <c r="O715" s="88"/>
      <c r="P715" s="93"/>
      <c r="Q715" s="127">
        <f>Q716</f>
        <v>0</v>
      </c>
      <c r="R715" s="127">
        <f t="shared" si="77"/>
        <v>0</v>
      </c>
      <c r="S715" s="127">
        <f t="shared" si="77"/>
        <v>0</v>
      </c>
    </row>
    <row r="716" spans="1:19" ht="31.5" hidden="1">
      <c r="A716" s="50"/>
      <c r="B716" s="50"/>
      <c r="C716" s="50"/>
      <c r="D716" s="50"/>
      <c r="E716" s="50"/>
      <c r="F716" s="50"/>
      <c r="G716" s="51"/>
      <c r="H716" s="2" t="s">
        <v>535</v>
      </c>
      <c r="I716" s="9">
        <v>671</v>
      </c>
      <c r="J716" s="4">
        <v>4</v>
      </c>
      <c r="K716" s="11">
        <v>9</v>
      </c>
      <c r="L716" s="11">
        <v>14</v>
      </c>
      <c r="M716" s="58" t="s">
        <v>220</v>
      </c>
      <c r="N716" s="58" t="s">
        <v>229</v>
      </c>
      <c r="O716" s="58" t="s">
        <v>261</v>
      </c>
      <c r="P716" s="3"/>
      <c r="Q716" s="126">
        <f>Q717</f>
        <v>0</v>
      </c>
      <c r="R716" s="126">
        <f t="shared" si="77"/>
        <v>0</v>
      </c>
      <c r="S716" s="126">
        <f t="shared" si="77"/>
        <v>0</v>
      </c>
    </row>
    <row r="717" spans="1:19" ht="31.5" hidden="1">
      <c r="A717" s="50"/>
      <c r="B717" s="50"/>
      <c r="C717" s="50"/>
      <c r="D717" s="50"/>
      <c r="E717" s="50"/>
      <c r="F717" s="50"/>
      <c r="G717" s="51"/>
      <c r="H717" s="423" t="s">
        <v>1106</v>
      </c>
      <c r="I717" s="9">
        <v>671</v>
      </c>
      <c r="J717" s="4">
        <v>4</v>
      </c>
      <c r="K717" s="11">
        <v>9</v>
      </c>
      <c r="L717" s="11">
        <v>14</v>
      </c>
      <c r="M717" s="58" t="s">
        <v>220</v>
      </c>
      <c r="N717" s="58" t="s">
        <v>236</v>
      </c>
      <c r="O717" s="58" t="s">
        <v>261</v>
      </c>
      <c r="P717" s="3"/>
      <c r="Q717" s="126">
        <f>Q718</f>
        <v>0</v>
      </c>
      <c r="R717" s="126">
        <f t="shared" si="77"/>
        <v>0</v>
      </c>
      <c r="S717" s="126">
        <f t="shared" si="77"/>
        <v>0</v>
      </c>
    </row>
    <row r="718" spans="1:19" ht="18.75" hidden="1">
      <c r="A718" s="50"/>
      <c r="B718" s="50"/>
      <c r="C718" s="50"/>
      <c r="D718" s="50"/>
      <c r="E718" s="50"/>
      <c r="F718" s="50"/>
      <c r="G718" s="51"/>
      <c r="H718" s="108" t="s">
        <v>320</v>
      </c>
      <c r="I718" s="5">
        <v>671</v>
      </c>
      <c r="J718" s="15">
        <v>4</v>
      </c>
      <c r="K718" s="11">
        <v>9</v>
      </c>
      <c r="L718" s="11">
        <v>14</v>
      </c>
      <c r="M718" s="58" t="s">
        <v>220</v>
      </c>
      <c r="N718" s="58" t="s">
        <v>236</v>
      </c>
      <c r="O718" s="58" t="s">
        <v>496</v>
      </c>
      <c r="P718" s="3"/>
      <c r="Q718" s="126">
        <f>Q719</f>
        <v>0</v>
      </c>
      <c r="R718" s="126">
        <f t="shared" si="77"/>
        <v>0</v>
      </c>
      <c r="S718" s="126">
        <f t="shared" si="77"/>
        <v>0</v>
      </c>
    </row>
    <row r="719" spans="1:19" ht="18.75" hidden="1">
      <c r="A719" s="50"/>
      <c r="B719" s="50"/>
      <c r="C719" s="50"/>
      <c r="D719" s="50"/>
      <c r="E719" s="50"/>
      <c r="F719" s="50"/>
      <c r="G719" s="51"/>
      <c r="H719" s="2" t="s">
        <v>299</v>
      </c>
      <c r="I719" s="9">
        <v>671</v>
      </c>
      <c r="J719" s="4">
        <v>4</v>
      </c>
      <c r="K719" s="11">
        <v>9</v>
      </c>
      <c r="L719" s="11">
        <v>14</v>
      </c>
      <c r="M719" s="58" t="s">
        <v>220</v>
      </c>
      <c r="N719" s="58" t="s">
        <v>236</v>
      </c>
      <c r="O719" s="58" t="s">
        <v>496</v>
      </c>
      <c r="P719" s="3">
        <v>240</v>
      </c>
      <c r="Q719" s="126">
        <v>0</v>
      </c>
      <c r="R719" s="126">
        <v>0</v>
      </c>
      <c r="S719" s="126">
        <v>0</v>
      </c>
    </row>
    <row r="720" spans="1:19" s="113" customFormat="1" ht="19.5">
      <c r="A720" s="83"/>
      <c r="B720" s="83"/>
      <c r="C720" s="83"/>
      <c r="D720" s="83"/>
      <c r="E720" s="83"/>
      <c r="F720" s="83"/>
      <c r="G720" s="84"/>
      <c r="H720" s="227" t="s">
        <v>248</v>
      </c>
      <c r="I720" s="251">
        <v>671</v>
      </c>
      <c r="J720" s="95">
        <v>10</v>
      </c>
      <c r="K720" s="86"/>
      <c r="L720" s="86"/>
      <c r="M720" s="88"/>
      <c r="N720" s="88"/>
      <c r="O720" s="88"/>
      <c r="P720" s="93"/>
      <c r="Q720" s="127">
        <f>Q721</f>
        <v>1809.1</v>
      </c>
      <c r="R720" s="127">
        <f aca="true" t="shared" si="78" ref="R720:S724">R721</f>
        <v>2400</v>
      </c>
      <c r="S720" s="127">
        <f t="shared" si="78"/>
        <v>2400</v>
      </c>
    </row>
    <row r="721" spans="1:19" s="113" customFormat="1" ht="19.5">
      <c r="A721" s="83"/>
      <c r="B721" s="83"/>
      <c r="C721" s="83"/>
      <c r="D721" s="83"/>
      <c r="E721" s="83"/>
      <c r="F721" s="83"/>
      <c r="G721" s="84"/>
      <c r="H721" s="227" t="s">
        <v>249</v>
      </c>
      <c r="I721" s="251">
        <v>671</v>
      </c>
      <c r="J721" s="95">
        <v>10</v>
      </c>
      <c r="K721" s="86">
        <v>3</v>
      </c>
      <c r="L721" s="86"/>
      <c r="M721" s="88"/>
      <c r="N721" s="88"/>
      <c r="O721" s="88"/>
      <c r="P721" s="93"/>
      <c r="Q721" s="127">
        <f>Q722</f>
        <v>1809.1</v>
      </c>
      <c r="R721" s="127">
        <f t="shared" si="78"/>
        <v>2400</v>
      </c>
      <c r="S721" s="127">
        <f t="shared" si="78"/>
        <v>2400</v>
      </c>
    </row>
    <row r="722" spans="1:19" ht="31.5">
      <c r="A722" s="50"/>
      <c r="B722" s="50"/>
      <c r="C722" s="50"/>
      <c r="D722" s="50"/>
      <c r="E722" s="50"/>
      <c r="F722" s="50"/>
      <c r="G722" s="51"/>
      <c r="H722" s="2" t="s">
        <v>580</v>
      </c>
      <c r="I722" s="9">
        <v>671</v>
      </c>
      <c r="J722" s="4">
        <v>10</v>
      </c>
      <c r="K722" s="11">
        <v>3</v>
      </c>
      <c r="L722" s="11">
        <v>15</v>
      </c>
      <c r="M722" s="58" t="s">
        <v>220</v>
      </c>
      <c r="N722" s="58" t="s">
        <v>229</v>
      </c>
      <c r="O722" s="58" t="s">
        <v>261</v>
      </c>
      <c r="P722" s="3"/>
      <c r="Q722" s="126">
        <f>Q723</f>
        <v>1809.1</v>
      </c>
      <c r="R722" s="126">
        <f t="shared" si="78"/>
        <v>2400</v>
      </c>
      <c r="S722" s="126">
        <f t="shared" si="78"/>
        <v>2400</v>
      </c>
    </row>
    <row r="723" spans="1:19" ht="47.25">
      <c r="A723" s="50"/>
      <c r="B723" s="50"/>
      <c r="C723" s="50"/>
      <c r="D723" s="50"/>
      <c r="E723" s="50"/>
      <c r="F723" s="50"/>
      <c r="G723" s="51"/>
      <c r="H723" s="2" t="s">
        <v>415</v>
      </c>
      <c r="I723" s="9">
        <v>671</v>
      </c>
      <c r="J723" s="4">
        <v>10</v>
      </c>
      <c r="K723" s="11">
        <v>3</v>
      </c>
      <c r="L723" s="11">
        <v>15</v>
      </c>
      <c r="M723" s="58" t="s">
        <v>220</v>
      </c>
      <c r="N723" s="58" t="s">
        <v>414</v>
      </c>
      <c r="O723" s="58" t="s">
        <v>261</v>
      </c>
      <c r="P723" s="3"/>
      <c r="Q723" s="126">
        <f>Q724</f>
        <v>1809.1</v>
      </c>
      <c r="R723" s="126">
        <f t="shared" si="78"/>
        <v>2400</v>
      </c>
      <c r="S723" s="126">
        <f t="shared" si="78"/>
        <v>2400</v>
      </c>
    </row>
    <row r="724" spans="1:19" ht="63">
      <c r="A724" s="50"/>
      <c r="B724" s="50"/>
      <c r="C724" s="50"/>
      <c r="D724" s="50"/>
      <c r="E724" s="50"/>
      <c r="F724" s="50"/>
      <c r="G724" s="51"/>
      <c r="H724" s="2" t="s">
        <v>32</v>
      </c>
      <c r="I724" s="9">
        <v>671</v>
      </c>
      <c r="J724" s="4">
        <v>10</v>
      </c>
      <c r="K724" s="11">
        <v>3</v>
      </c>
      <c r="L724" s="11">
        <v>15</v>
      </c>
      <c r="M724" s="58" t="s">
        <v>220</v>
      </c>
      <c r="N724" s="58" t="s">
        <v>414</v>
      </c>
      <c r="O724" s="58" t="s">
        <v>331</v>
      </c>
      <c r="P724" s="3"/>
      <c r="Q724" s="126">
        <f>Q725</f>
        <v>1809.1</v>
      </c>
      <c r="R724" s="126">
        <f t="shared" si="78"/>
        <v>2400</v>
      </c>
      <c r="S724" s="126">
        <f t="shared" si="78"/>
        <v>2400</v>
      </c>
    </row>
    <row r="725" spans="1:19" ht="18.75">
      <c r="A725" s="50"/>
      <c r="B725" s="50"/>
      <c r="C725" s="50"/>
      <c r="D725" s="50"/>
      <c r="E725" s="50"/>
      <c r="F725" s="50"/>
      <c r="G725" s="51"/>
      <c r="H725" s="2" t="s">
        <v>304</v>
      </c>
      <c r="I725" s="5">
        <v>671</v>
      </c>
      <c r="J725" s="15">
        <v>10</v>
      </c>
      <c r="K725" s="11">
        <v>3</v>
      </c>
      <c r="L725" s="11">
        <v>15</v>
      </c>
      <c r="M725" s="58" t="s">
        <v>220</v>
      </c>
      <c r="N725" s="58" t="s">
        <v>414</v>
      </c>
      <c r="O725" s="58" t="s">
        <v>331</v>
      </c>
      <c r="P725" s="3">
        <v>320</v>
      </c>
      <c r="Q725" s="126">
        <f>1800+9.1</f>
        <v>1809.1</v>
      </c>
      <c r="R725" s="126">
        <v>2400</v>
      </c>
      <c r="S725" s="126">
        <v>2400</v>
      </c>
    </row>
    <row r="726" spans="1:19" s="111" customFormat="1" ht="16.5">
      <c r="A726" s="309"/>
      <c r="B726" s="309"/>
      <c r="C726" s="309"/>
      <c r="D726" s="309"/>
      <c r="E726" s="309"/>
      <c r="F726" s="309"/>
      <c r="G726" s="116"/>
      <c r="H726" s="360" t="s">
        <v>491</v>
      </c>
      <c r="I726" s="212">
        <v>672</v>
      </c>
      <c r="J726" s="321"/>
      <c r="K726" s="10"/>
      <c r="L726" s="10"/>
      <c r="M726" s="82"/>
      <c r="N726" s="82"/>
      <c r="O726" s="82"/>
      <c r="P726" s="18"/>
      <c r="Q726" s="213">
        <f>Q727+Q900</f>
        <v>414574.89999999997</v>
      </c>
      <c r="R726" s="213">
        <f>R727+R900</f>
        <v>377743.9</v>
      </c>
      <c r="S726" s="213">
        <f>S727+S900</f>
        <v>419599.4</v>
      </c>
    </row>
    <row r="727" spans="1:19" s="113" customFormat="1" ht="19.5">
      <c r="A727" s="83"/>
      <c r="B727" s="83"/>
      <c r="C727" s="83"/>
      <c r="D727" s="83"/>
      <c r="E727" s="83"/>
      <c r="F727" s="83"/>
      <c r="G727" s="84"/>
      <c r="H727" s="227" t="s">
        <v>246</v>
      </c>
      <c r="I727" s="99">
        <v>672</v>
      </c>
      <c r="J727" s="103">
        <v>7</v>
      </c>
      <c r="K727" s="86"/>
      <c r="L727" s="86"/>
      <c r="M727" s="88"/>
      <c r="N727" s="88"/>
      <c r="O727" s="88"/>
      <c r="P727" s="93"/>
      <c r="Q727" s="127">
        <f>Q728+Q760+Q817+Q827</f>
        <v>414574.89999999997</v>
      </c>
      <c r="R727" s="127">
        <f>R728+R760+R817+R827</f>
        <v>377743.9</v>
      </c>
      <c r="S727" s="127">
        <f>S728+S760+S817+S827</f>
        <v>419599.4</v>
      </c>
    </row>
    <row r="728" spans="1:19" s="113" customFormat="1" ht="19.5">
      <c r="A728" s="83"/>
      <c r="B728" s="83"/>
      <c r="C728" s="83"/>
      <c r="D728" s="83"/>
      <c r="E728" s="83"/>
      <c r="F728" s="83"/>
      <c r="G728" s="84"/>
      <c r="H728" s="227" t="s">
        <v>77</v>
      </c>
      <c r="I728" s="99">
        <v>672</v>
      </c>
      <c r="J728" s="95">
        <v>7</v>
      </c>
      <c r="K728" s="86">
        <v>1</v>
      </c>
      <c r="L728" s="87"/>
      <c r="M728" s="88"/>
      <c r="N728" s="88"/>
      <c r="O728" s="88"/>
      <c r="P728" s="93"/>
      <c r="Q728" s="127">
        <f>Q736+Q729</f>
        <v>128693.59999999999</v>
      </c>
      <c r="R728" s="127">
        <f>R736+R729</f>
        <v>111982.5</v>
      </c>
      <c r="S728" s="127">
        <f>S736+S729</f>
        <v>114570.3</v>
      </c>
    </row>
    <row r="729" spans="1:19" s="113" customFormat="1" ht="31.5">
      <c r="A729" s="106"/>
      <c r="B729" s="128"/>
      <c r="C729" s="104"/>
      <c r="D729" s="128"/>
      <c r="E729" s="106"/>
      <c r="F729" s="106"/>
      <c r="G729" s="84"/>
      <c r="H729" s="2" t="s">
        <v>583</v>
      </c>
      <c r="I729" s="5">
        <v>672</v>
      </c>
      <c r="J729" s="15">
        <v>7</v>
      </c>
      <c r="K729" s="11">
        <v>1</v>
      </c>
      <c r="L729" s="57" t="s">
        <v>221</v>
      </c>
      <c r="M729" s="58" t="s">
        <v>220</v>
      </c>
      <c r="N729" s="58" t="s">
        <v>229</v>
      </c>
      <c r="O729" s="58" t="s">
        <v>261</v>
      </c>
      <c r="P729" s="3"/>
      <c r="Q729" s="126">
        <f>Q730+Q733</f>
        <v>127.39999999999999</v>
      </c>
      <c r="R729" s="126">
        <f>R730+R733</f>
        <v>0</v>
      </c>
      <c r="S729" s="126">
        <f>S730+S733</f>
        <v>0</v>
      </c>
    </row>
    <row r="730" spans="1:19" s="113" customFormat="1" ht="31.5">
      <c r="A730" s="106"/>
      <c r="B730" s="128"/>
      <c r="C730" s="104"/>
      <c r="D730" s="128"/>
      <c r="E730" s="106"/>
      <c r="F730" s="106"/>
      <c r="G730" s="84"/>
      <c r="H730" s="2" t="s">
        <v>50</v>
      </c>
      <c r="I730" s="5">
        <v>672</v>
      </c>
      <c r="J730" s="15">
        <v>7</v>
      </c>
      <c r="K730" s="11">
        <v>1</v>
      </c>
      <c r="L730" s="57" t="s">
        <v>221</v>
      </c>
      <c r="M730" s="58" t="s">
        <v>220</v>
      </c>
      <c r="N730" s="58" t="s">
        <v>236</v>
      </c>
      <c r="O730" s="58" t="s">
        <v>261</v>
      </c>
      <c r="P730" s="3"/>
      <c r="Q730" s="126">
        <f aca="true" t="shared" si="79" ref="Q730:S731">Q731</f>
        <v>125.1</v>
      </c>
      <c r="R730" s="126">
        <f t="shared" si="79"/>
        <v>0</v>
      </c>
      <c r="S730" s="126">
        <f t="shared" si="79"/>
        <v>0</v>
      </c>
    </row>
    <row r="731" spans="1:19" s="113" customFormat="1" ht="18.75">
      <c r="A731" s="106"/>
      <c r="B731" s="128"/>
      <c r="C731" s="104"/>
      <c r="D731" s="128"/>
      <c r="E731" s="106"/>
      <c r="F731" s="106"/>
      <c r="G731" s="84"/>
      <c r="H731" s="25" t="s">
        <v>53</v>
      </c>
      <c r="I731" s="5">
        <v>672</v>
      </c>
      <c r="J731" s="15">
        <v>7</v>
      </c>
      <c r="K731" s="11">
        <v>1</v>
      </c>
      <c r="L731" s="57" t="s">
        <v>221</v>
      </c>
      <c r="M731" s="58" t="s">
        <v>220</v>
      </c>
      <c r="N731" s="58" t="s">
        <v>236</v>
      </c>
      <c r="O731" s="58" t="s">
        <v>48</v>
      </c>
      <c r="P731" s="3"/>
      <c r="Q731" s="126">
        <f t="shared" si="79"/>
        <v>125.1</v>
      </c>
      <c r="R731" s="126">
        <f t="shared" si="79"/>
        <v>0</v>
      </c>
      <c r="S731" s="126">
        <f t="shared" si="79"/>
        <v>0</v>
      </c>
    </row>
    <row r="732" spans="1:19" s="113" customFormat="1" ht="18.75">
      <c r="A732" s="106"/>
      <c r="B732" s="128"/>
      <c r="C732" s="104"/>
      <c r="D732" s="128"/>
      <c r="E732" s="106"/>
      <c r="F732" s="106"/>
      <c r="G732" s="84"/>
      <c r="H732" s="25" t="s">
        <v>301</v>
      </c>
      <c r="I732" s="5">
        <v>672</v>
      </c>
      <c r="J732" s="15">
        <v>7</v>
      </c>
      <c r="K732" s="11">
        <v>1</v>
      </c>
      <c r="L732" s="57" t="s">
        <v>221</v>
      </c>
      <c r="M732" s="58" t="s">
        <v>220</v>
      </c>
      <c r="N732" s="58" t="s">
        <v>236</v>
      </c>
      <c r="O732" s="58" t="s">
        <v>48</v>
      </c>
      <c r="P732" s="3">
        <v>610</v>
      </c>
      <c r="Q732" s="126">
        <v>125.1</v>
      </c>
      <c r="R732" s="126">
        <v>0</v>
      </c>
      <c r="S732" s="126">
        <v>0</v>
      </c>
    </row>
    <row r="733" spans="1:19" s="113" customFormat="1" ht="31.5">
      <c r="A733" s="106"/>
      <c r="B733" s="128"/>
      <c r="C733" s="104"/>
      <c r="D733" s="128"/>
      <c r="E733" s="106"/>
      <c r="F733" s="106"/>
      <c r="G733" s="84"/>
      <c r="H733" s="2" t="s">
        <v>289</v>
      </c>
      <c r="I733" s="5">
        <v>672</v>
      </c>
      <c r="J733" s="15">
        <v>7</v>
      </c>
      <c r="K733" s="11">
        <v>1</v>
      </c>
      <c r="L733" s="57" t="s">
        <v>221</v>
      </c>
      <c r="M733" s="58" t="s">
        <v>220</v>
      </c>
      <c r="N733" s="58" t="s">
        <v>232</v>
      </c>
      <c r="O733" s="58" t="s">
        <v>261</v>
      </c>
      <c r="P733" s="3"/>
      <c r="Q733" s="126">
        <f aca="true" t="shared" si="80" ref="Q733:S734">Q734</f>
        <v>2.3</v>
      </c>
      <c r="R733" s="126">
        <f t="shared" si="80"/>
        <v>0</v>
      </c>
      <c r="S733" s="126">
        <f t="shared" si="80"/>
        <v>0</v>
      </c>
    </row>
    <row r="734" spans="1:19" s="113" customFormat="1" ht="18.75">
      <c r="A734" s="106"/>
      <c r="B734" s="128"/>
      <c r="C734" s="104"/>
      <c r="D734" s="128"/>
      <c r="E734" s="106"/>
      <c r="F734" s="106"/>
      <c r="G734" s="84"/>
      <c r="H734" s="303" t="s">
        <v>53</v>
      </c>
      <c r="I734" s="5">
        <v>672</v>
      </c>
      <c r="J734" s="15">
        <v>7</v>
      </c>
      <c r="K734" s="11">
        <v>1</v>
      </c>
      <c r="L734" s="57" t="s">
        <v>221</v>
      </c>
      <c r="M734" s="58" t="s">
        <v>220</v>
      </c>
      <c r="N734" s="58" t="s">
        <v>232</v>
      </c>
      <c r="O734" s="58" t="s">
        <v>48</v>
      </c>
      <c r="P734" s="3"/>
      <c r="Q734" s="126">
        <f t="shared" si="80"/>
        <v>2.3</v>
      </c>
      <c r="R734" s="126">
        <f t="shared" si="80"/>
        <v>0</v>
      </c>
      <c r="S734" s="126">
        <f t="shared" si="80"/>
        <v>0</v>
      </c>
    </row>
    <row r="735" spans="1:19" s="113" customFormat="1" ht="18.75">
      <c r="A735" s="106"/>
      <c r="B735" s="128"/>
      <c r="C735" s="104"/>
      <c r="D735" s="128"/>
      <c r="E735" s="106"/>
      <c r="F735" s="106"/>
      <c r="G735" s="84"/>
      <c r="H735" s="25" t="s">
        <v>301</v>
      </c>
      <c r="I735" s="5">
        <v>672</v>
      </c>
      <c r="J735" s="15">
        <v>7</v>
      </c>
      <c r="K735" s="11">
        <v>1</v>
      </c>
      <c r="L735" s="57" t="s">
        <v>221</v>
      </c>
      <c r="M735" s="58" t="s">
        <v>220</v>
      </c>
      <c r="N735" s="58" t="s">
        <v>232</v>
      </c>
      <c r="O735" s="58" t="s">
        <v>48</v>
      </c>
      <c r="P735" s="3">
        <v>610</v>
      </c>
      <c r="Q735" s="126">
        <v>2.3</v>
      </c>
      <c r="R735" s="126">
        <v>0</v>
      </c>
      <c r="S735" s="126">
        <v>0</v>
      </c>
    </row>
    <row r="736" spans="1:19" ht="31.5">
      <c r="A736" s="59"/>
      <c r="B736" s="60"/>
      <c r="C736" s="65"/>
      <c r="D736" s="73"/>
      <c r="E736" s="76"/>
      <c r="F736" s="76"/>
      <c r="G736" s="51"/>
      <c r="H736" s="2" t="s">
        <v>581</v>
      </c>
      <c r="I736" s="5">
        <v>672</v>
      </c>
      <c r="J736" s="15">
        <v>7</v>
      </c>
      <c r="K736" s="11">
        <v>1</v>
      </c>
      <c r="L736" s="57" t="s">
        <v>232</v>
      </c>
      <c r="M736" s="58" t="s">
        <v>220</v>
      </c>
      <c r="N736" s="58" t="s">
        <v>229</v>
      </c>
      <c r="O736" s="58" t="s">
        <v>261</v>
      </c>
      <c r="P736" s="7"/>
      <c r="Q736" s="124">
        <f>Q737+Q750+Q747</f>
        <v>128566.2</v>
      </c>
      <c r="R736" s="124">
        <f>R737+R750+R747</f>
        <v>111982.5</v>
      </c>
      <c r="S736" s="124">
        <f>S737+S750+S747</f>
        <v>114570.3</v>
      </c>
    </row>
    <row r="737" spans="1:19" ht="18.75">
      <c r="A737" s="59"/>
      <c r="B737" s="60"/>
      <c r="C737" s="65"/>
      <c r="D737" s="73"/>
      <c r="E737" s="76"/>
      <c r="F737" s="76"/>
      <c r="G737" s="51"/>
      <c r="H737" s="2" t="s">
        <v>270</v>
      </c>
      <c r="I737" s="5">
        <v>672</v>
      </c>
      <c r="J737" s="15">
        <v>7</v>
      </c>
      <c r="K737" s="11">
        <v>1</v>
      </c>
      <c r="L737" s="57" t="s">
        <v>232</v>
      </c>
      <c r="M737" s="58" t="s">
        <v>220</v>
      </c>
      <c r="N737" s="58" t="s">
        <v>221</v>
      </c>
      <c r="O737" s="58" t="s">
        <v>261</v>
      </c>
      <c r="P737" s="7"/>
      <c r="Q737" s="124">
        <f>Q738+Q743+Q745+Q741</f>
        <v>108123.4</v>
      </c>
      <c r="R737" s="124">
        <f>R738+R743+R745+R741</f>
        <v>111982.5</v>
      </c>
      <c r="S737" s="124">
        <f>S738+S743+S745+S741</f>
        <v>114570.3</v>
      </c>
    </row>
    <row r="738" spans="1:19" ht="18.75">
      <c r="A738" s="59"/>
      <c r="B738" s="60"/>
      <c r="C738" s="65"/>
      <c r="D738" s="73"/>
      <c r="E738" s="76"/>
      <c r="F738" s="76"/>
      <c r="G738" s="51"/>
      <c r="H738" s="2" t="s">
        <v>53</v>
      </c>
      <c r="I738" s="5">
        <v>672</v>
      </c>
      <c r="J738" s="15">
        <v>7</v>
      </c>
      <c r="K738" s="11">
        <v>1</v>
      </c>
      <c r="L738" s="57" t="s">
        <v>232</v>
      </c>
      <c r="M738" s="58" t="s">
        <v>220</v>
      </c>
      <c r="N738" s="58" t="s">
        <v>221</v>
      </c>
      <c r="O738" s="58" t="s">
        <v>48</v>
      </c>
      <c r="P738" s="7"/>
      <c r="Q738" s="124">
        <f>Q739+Q740</f>
        <v>20803.2</v>
      </c>
      <c r="R738" s="124">
        <f>R739+R740</f>
        <v>21572.600000000002</v>
      </c>
      <c r="S738" s="124">
        <f>S739+S740</f>
        <v>19863.1</v>
      </c>
    </row>
    <row r="739" spans="1:19" ht="18.75">
      <c r="A739" s="59"/>
      <c r="B739" s="60"/>
      <c r="C739" s="65"/>
      <c r="D739" s="73"/>
      <c r="E739" s="76"/>
      <c r="F739" s="76"/>
      <c r="G739" s="51"/>
      <c r="H739" s="2" t="s">
        <v>301</v>
      </c>
      <c r="I739" s="5">
        <v>672</v>
      </c>
      <c r="J739" s="15">
        <v>7</v>
      </c>
      <c r="K739" s="11">
        <v>1</v>
      </c>
      <c r="L739" s="57" t="s">
        <v>232</v>
      </c>
      <c r="M739" s="58" t="s">
        <v>220</v>
      </c>
      <c r="N739" s="58" t="s">
        <v>221</v>
      </c>
      <c r="O739" s="58" t="s">
        <v>48</v>
      </c>
      <c r="P739" s="7">
        <v>610</v>
      </c>
      <c r="Q739" s="124">
        <f>20358.3+100+60.7+102.7+67.2+59.8</f>
        <v>20748.7</v>
      </c>
      <c r="R739" s="124">
        <f>22096.9-524.3</f>
        <v>21572.600000000002</v>
      </c>
      <c r="S739" s="124">
        <v>19863.1</v>
      </c>
    </row>
    <row r="740" spans="1:19" ht="18.75">
      <c r="A740" s="59"/>
      <c r="B740" s="60"/>
      <c r="C740" s="65"/>
      <c r="D740" s="73"/>
      <c r="E740" s="76"/>
      <c r="F740" s="76"/>
      <c r="G740" s="51"/>
      <c r="H740" s="2" t="s">
        <v>299</v>
      </c>
      <c r="I740" s="5">
        <v>672</v>
      </c>
      <c r="J740" s="15">
        <v>7</v>
      </c>
      <c r="K740" s="11">
        <v>1</v>
      </c>
      <c r="L740" s="57" t="s">
        <v>232</v>
      </c>
      <c r="M740" s="58" t="s">
        <v>220</v>
      </c>
      <c r="N740" s="58" t="s">
        <v>221</v>
      </c>
      <c r="O740" s="58" t="s">
        <v>48</v>
      </c>
      <c r="P740" s="7">
        <v>240</v>
      </c>
      <c r="Q740" s="124">
        <v>54.5</v>
      </c>
      <c r="R740" s="124">
        <v>0</v>
      </c>
      <c r="S740" s="124">
        <v>0</v>
      </c>
    </row>
    <row r="741" spans="1:19" ht="18.75">
      <c r="A741" s="59"/>
      <c r="B741" s="60"/>
      <c r="C741" s="65"/>
      <c r="D741" s="73"/>
      <c r="E741" s="76"/>
      <c r="F741" s="76"/>
      <c r="G741" s="51"/>
      <c r="H741" s="303" t="s">
        <v>56</v>
      </c>
      <c r="I741" s="5">
        <v>672</v>
      </c>
      <c r="J741" s="15">
        <v>7</v>
      </c>
      <c r="K741" s="11">
        <v>1</v>
      </c>
      <c r="L741" s="57" t="s">
        <v>232</v>
      </c>
      <c r="M741" s="58" t="s">
        <v>220</v>
      </c>
      <c r="N741" s="58" t="s">
        <v>221</v>
      </c>
      <c r="O741" s="58" t="s">
        <v>49</v>
      </c>
      <c r="P741" s="7"/>
      <c r="Q741" s="124">
        <f>Q742</f>
        <v>65.4</v>
      </c>
      <c r="R741" s="124">
        <f>R742</f>
        <v>0</v>
      </c>
      <c r="S741" s="124">
        <f>S742</f>
        <v>0</v>
      </c>
    </row>
    <row r="742" spans="1:19" ht="18.75">
      <c r="A742" s="59"/>
      <c r="B742" s="60"/>
      <c r="C742" s="65"/>
      <c r="D742" s="73"/>
      <c r="E742" s="76"/>
      <c r="F742" s="76"/>
      <c r="G742" s="51"/>
      <c r="H742" s="25" t="s">
        <v>301</v>
      </c>
      <c r="I742" s="5">
        <v>672</v>
      </c>
      <c r="J742" s="15">
        <v>7</v>
      </c>
      <c r="K742" s="11">
        <v>1</v>
      </c>
      <c r="L742" s="57" t="s">
        <v>232</v>
      </c>
      <c r="M742" s="58" t="s">
        <v>220</v>
      </c>
      <c r="N742" s="58" t="s">
        <v>221</v>
      </c>
      <c r="O742" s="58" t="s">
        <v>49</v>
      </c>
      <c r="P742" s="7">
        <v>610</v>
      </c>
      <c r="Q742" s="124">
        <f>3+6+6.7+20.6+6.5+5.1+17.5</f>
        <v>65.4</v>
      </c>
      <c r="R742" s="126">
        <v>0</v>
      </c>
      <c r="S742" s="126">
        <v>0</v>
      </c>
    </row>
    <row r="743" spans="1:19" ht="31.5">
      <c r="A743" s="59"/>
      <c r="B743" s="60"/>
      <c r="C743" s="65"/>
      <c r="D743" s="73"/>
      <c r="E743" s="76"/>
      <c r="F743" s="76"/>
      <c r="G743" s="51"/>
      <c r="H743" s="2" t="s">
        <v>374</v>
      </c>
      <c r="I743" s="5">
        <v>672</v>
      </c>
      <c r="J743" s="15">
        <v>7</v>
      </c>
      <c r="K743" s="11">
        <v>1</v>
      </c>
      <c r="L743" s="57" t="s">
        <v>232</v>
      </c>
      <c r="M743" s="58" t="s">
        <v>220</v>
      </c>
      <c r="N743" s="58" t="s">
        <v>221</v>
      </c>
      <c r="O743" s="58" t="s">
        <v>373</v>
      </c>
      <c r="P743" s="7"/>
      <c r="Q743" s="124">
        <f>Q744</f>
        <v>6543.6</v>
      </c>
      <c r="R743" s="124">
        <f>R744</f>
        <v>6802</v>
      </c>
      <c r="S743" s="124">
        <f>S744</f>
        <v>7154.1</v>
      </c>
    </row>
    <row r="744" spans="1:19" ht="18.75">
      <c r="A744" s="59"/>
      <c r="B744" s="60"/>
      <c r="C744" s="65"/>
      <c r="D744" s="63"/>
      <c r="E744" s="75"/>
      <c r="F744" s="75"/>
      <c r="G744" s="67">
        <v>321</v>
      </c>
      <c r="H744" s="2" t="s">
        <v>301</v>
      </c>
      <c r="I744" s="5">
        <v>672</v>
      </c>
      <c r="J744" s="15">
        <v>7</v>
      </c>
      <c r="K744" s="11">
        <v>1</v>
      </c>
      <c r="L744" s="57" t="s">
        <v>232</v>
      </c>
      <c r="M744" s="58" t="s">
        <v>220</v>
      </c>
      <c r="N744" s="58" t="s">
        <v>221</v>
      </c>
      <c r="O744" s="58" t="s">
        <v>373</v>
      </c>
      <c r="P744" s="3">
        <v>610</v>
      </c>
      <c r="Q744" s="126">
        <v>6543.6</v>
      </c>
      <c r="R744" s="126">
        <v>6802</v>
      </c>
      <c r="S744" s="126">
        <v>7154.1</v>
      </c>
    </row>
    <row r="745" spans="1:19" ht="31.5">
      <c r="A745" s="59"/>
      <c r="B745" s="60"/>
      <c r="C745" s="65"/>
      <c r="D745" s="63"/>
      <c r="E745" s="75"/>
      <c r="F745" s="75"/>
      <c r="G745" s="67">
        <v>530</v>
      </c>
      <c r="H745" s="2" t="s">
        <v>55</v>
      </c>
      <c r="I745" s="9">
        <v>672</v>
      </c>
      <c r="J745" s="11">
        <v>7</v>
      </c>
      <c r="K745" s="11">
        <v>1</v>
      </c>
      <c r="L745" s="57" t="s">
        <v>232</v>
      </c>
      <c r="M745" s="58" t="s">
        <v>220</v>
      </c>
      <c r="N745" s="58" t="s">
        <v>221</v>
      </c>
      <c r="O745" s="58" t="s">
        <v>54</v>
      </c>
      <c r="P745" s="3"/>
      <c r="Q745" s="126">
        <f>Q746</f>
        <v>80711.2</v>
      </c>
      <c r="R745" s="126">
        <f>R746</f>
        <v>83607.9</v>
      </c>
      <c r="S745" s="126">
        <f>S746</f>
        <v>87553.1</v>
      </c>
    </row>
    <row r="746" spans="1:19" ht="18.75">
      <c r="A746" s="59"/>
      <c r="B746" s="60"/>
      <c r="C746" s="65"/>
      <c r="D746" s="63"/>
      <c r="E746" s="75"/>
      <c r="F746" s="75"/>
      <c r="G746" s="67"/>
      <c r="H746" s="2" t="s">
        <v>301</v>
      </c>
      <c r="I746" s="9">
        <v>672</v>
      </c>
      <c r="J746" s="11">
        <v>7</v>
      </c>
      <c r="K746" s="11">
        <v>1</v>
      </c>
      <c r="L746" s="57" t="s">
        <v>232</v>
      </c>
      <c r="M746" s="58" t="s">
        <v>220</v>
      </c>
      <c r="N746" s="58" t="s">
        <v>221</v>
      </c>
      <c r="O746" s="58" t="s">
        <v>54</v>
      </c>
      <c r="P746" s="3">
        <v>610</v>
      </c>
      <c r="Q746" s="126">
        <v>80711.2</v>
      </c>
      <c r="R746" s="126">
        <v>83607.9</v>
      </c>
      <c r="S746" s="126">
        <v>87553.1</v>
      </c>
    </row>
    <row r="747" spans="1:19" ht="18.75" hidden="1">
      <c r="A747" s="59"/>
      <c r="B747" s="60"/>
      <c r="C747" s="65"/>
      <c r="D747" s="63"/>
      <c r="E747" s="75"/>
      <c r="F747" s="75"/>
      <c r="G747" s="67"/>
      <c r="H747" s="2" t="s">
        <v>271</v>
      </c>
      <c r="I747" s="9">
        <v>672</v>
      </c>
      <c r="J747" s="11">
        <v>7</v>
      </c>
      <c r="K747" s="11">
        <v>1</v>
      </c>
      <c r="L747" s="57" t="s">
        <v>232</v>
      </c>
      <c r="M747" s="58" t="s">
        <v>220</v>
      </c>
      <c r="N747" s="58" t="s">
        <v>236</v>
      </c>
      <c r="O747" s="58" t="s">
        <v>261</v>
      </c>
      <c r="P747" s="3"/>
      <c r="Q747" s="126">
        <f aca="true" t="shared" si="81" ref="Q747:S748">Q748</f>
        <v>0</v>
      </c>
      <c r="R747" s="126">
        <f t="shared" si="81"/>
        <v>0</v>
      </c>
      <c r="S747" s="126">
        <f t="shared" si="81"/>
        <v>0</v>
      </c>
    </row>
    <row r="748" spans="1:19" ht="18.75" hidden="1">
      <c r="A748" s="59"/>
      <c r="B748" s="60"/>
      <c r="C748" s="65"/>
      <c r="D748" s="63"/>
      <c r="E748" s="75"/>
      <c r="F748" s="75"/>
      <c r="G748" s="67"/>
      <c r="H748" s="2" t="s">
        <v>56</v>
      </c>
      <c r="I748" s="9">
        <v>672</v>
      </c>
      <c r="J748" s="11">
        <v>7</v>
      </c>
      <c r="K748" s="11">
        <v>1</v>
      </c>
      <c r="L748" s="57" t="s">
        <v>232</v>
      </c>
      <c r="M748" s="58" t="s">
        <v>220</v>
      </c>
      <c r="N748" s="58" t="s">
        <v>236</v>
      </c>
      <c r="O748" s="58" t="s">
        <v>49</v>
      </c>
      <c r="P748" s="3"/>
      <c r="Q748" s="126">
        <f t="shared" si="81"/>
        <v>0</v>
      </c>
      <c r="R748" s="126">
        <f t="shared" si="81"/>
        <v>0</v>
      </c>
      <c r="S748" s="126">
        <f t="shared" si="81"/>
        <v>0</v>
      </c>
    </row>
    <row r="749" spans="1:19" ht="18.75" hidden="1">
      <c r="A749" s="59"/>
      <c r="B749" s="60"/>
      <c r="C749" s="65"/>
      <c r="D749" s="63"/>
      <c r="E749" s="75"/>
      <c r="F749" s="75"/>
      <c r="G749" s="67"/>
      <c r="H749" s="2" t="s">
        <v>301</v>
      </c>
      <c r="I749" s="9">
        <v>672</v>
      </c>
      <c r="J749" s="11">
        <v>7</v>
      </c>
      <c r="K749" s="11">
        <v>1</v>
      </c>
      <c r="L749" s="57" t="s">
        <v>232</v>
      </c>
      <c r="M749" s="58" t="s">
        <v>220</v>
      </c>
      <c r="N749" s="58" t="s">
        <v>236</v>
      </c>
      <c r="O749" s="58" t="s">
        <v>49</v>
      </c>
      <c r="P749" s="3">
        <v>610</v>
      </c>
      <c r="Q749" s="126">
        <v>0</v>
      </c>
      <c r="R749" s="126">
        <v>0</v>
      </c>
      <c r="S749" s="126">
        <v>0</v>
      </c>
    </row>
    <row r="750" spans="1:19" ht="18.75">
      <c r="A750" s="59"/>
      <c r="B750" s="60"/>
      <c r="C750" s="65"/>
      <c r="D750" s="63"/>
      <c r="E750" s="75"/>
      <c r="F750" s="75"/>
      <c r="G750" s="67"/>
      <c r="H750" s="2" t="s">
        <v>839</v>
      </c>
      <c r="I750" s="9">
        <v>672</v>
      </c>
      <c r="J750" s="11">
        <v>7</v>
      </c>
      <c r="K750" s="11">
        <v>1</v>
      </c>
      <c r="L750" s="57" t="s">
        <v>232</v>
      </c>
      <c r="M750" s="58" t="s">
        <v>220</v>
      </c>
      <c r="N750" s="58" t="s">
        <v>223</v>
      </c>
      <c r="O750" s="58" t="s">
        <v>261</v>
      </c>
      <c r="P750" s="3"/>
      <c r="Q750" s="126">
        <f>Q758+Q751+Q753+Q756</f>
        <v>20442.8</v>
      </c>
      <c r="R750" s="126">
        <f>R758+R751+R753+R756</f>
        <v>0</v>
      </c>
      <c r="S750" s="126">
        <f>S758+S751+S753+S756</f>
        <v>0</v>
      </c>
    </row>
    <row r="751" spans="1:19" ht="47.25">
      <c r="A751" s="59"/>
      <c r="B751" s="60"/>
      <c r="C751" s="65"/>
      <c r="D751" s="63"/>
      <c r="E751" s="75"/>
      <c r="F751" s="75"/>
      <c r="G751" s="67"/>
      <c r="H751" s="2" t="s">
        <v>983</v>
      </c>
      <c r="I751" s="9">
        <v>672</v>
      </c>
      <c r="J751" s="11">
        <v>7</v>
      </c>
      <c r="K751" s="11">
        <v>1</v>
      </c>
      <c r="L751" s="57" t="s">
        <v>232</v>
      </c>
      <c r="M751" s="58" t="s">
        <v>220</v>
      </c>
      <c r="N751" s="58" t="s">
        <v>223</v>
      </c>
      <c r="O751" s="58" t="s">
        <v>982</v>
      </c>
      <c r="P751" s="3"/>
      <c r="Q751" s="126">
        <f>Q752</f>
        <v>120</v>
      </c>
      <c r="R751" s="126">
        <f>R752</f>
        <v>0</v>
      </c>
      <c r="S751" s="126">
        <f>S752</f>
        <v>0</v>
      </c>
    </row>
    <row r="752" spans="1:19" ht="18.75">
      <c r="A752" s="59"/>
      <c r="B752" s="60"/>
      <c r="C752" s="65"/>
      <c r="D752" s="63"/>
      <c r="E752" s="75"/>
      <c r="F752" s="75"/>
      <c r="G752" s="67"/>
      <c r="H752" s="2" t="s">
        <v>301</v>
      </c>
      <c r="I752" s="9">
        <v>672</v>
      </c>
      <c r="J752" s="11">
        <v>7</v>
      </c>
      <c r="K752" s="11">
        <v>1</v>
      </c>
      <c r="L752" s="57" t="s">
        <v>232</v>
      </c>
      <c r="M752" s="58" t="s">
        <v>220</v>
      </c>
      <c r="N752" s="58" t="s">
        <v>223</v>
      </c>
      <c r="O752" s="58" t="s">
        <v>982</v>
      </c>
      <c r="P752" s="3">
        <v>610</v>
      </c>
      <c r="Q752" s="126">
        <v>120</v>
      </c>
      <c r="R752" s="126">
        <v>0</v>
      </c>
      <c r="S752" s="126">
        <v>0</v>
      </c>
    </row>
    <row r="753" spans="1:19" ht="31.5">
      <c r="A753" s="59"/>
      <c r="B753" s="60"/>
      <c r="C753" s="65"/>
      <c r="D753" s="63"/>
      <c r="E753" s="75"/>
      <c r="F753" s="75"/>
      <c r="G753" s="67"/>
      <c r="H753" s="2" t="s">
        <v>986</v>
      </c>
      <c r="I753" s="9">
        <v>672</v>
      </c>
      <c r="J753" s="11">
        <v>7</v>
      </c>
      <c r="K753" s="11">
        <v>1</v>
      </c>
      <c r="L753" s="57" t="s">
        <v>232</v>
      </c>
      <c r="M753" s="58" t="s">
        <v>220</v>
      </c>
      <c r="N753" s="58" t="s">
        <v>223</v>
      </c>
      <c r="O753" s="58" t="s">
        <v>985</v>
      </c>
      <c r="P753" s="3"/>
      <c r="Q753" s="126">
        <f>Q754+Q755</f>
        <v>16233.9</v>
      </c>
      <c r="R753" s="126">
        <f>R754+R755</f>
        <v>0</v>
      </c>
      <c r="S753" s="126">
        <f>S754+S755</f>
        <v>0</v>
      </c>
    </row>
    <row r="754" spans="1:19" ht="18.75">
      <c r="A754" s="59"/>
      <c r="B754" s="60"/>
      <c r="C754" s="65"/>
      <c r="D754" s="63"/>
      <c r="E754" s="75"/>
      <c r="F754" s="75"/>
      <c r="G754" s="67"/>
      <c r="H754" s="2" t="s">
        <v>301</v>
      </c>
      <c r="I754" s="9">
        <v>672</v>
      </c>
      <c r="J754" s="11">
        <v>7</v>
      </c>
      <c r="K754" s="11">
        <v>1</v>
      </c>
      <c r="L754" s="57" t="s">
        <v>232</v>
      </c>
      <c r="M754" s="58" t="s">
        <v>220</v>
      </c>
      <c r="N754" s="58" t="s">
        <v>223</v>
      </c>
      <c r="O754" s="58" t="s">
        <v>985</v>
      </c>
      <c r="P754" s="3">
        <v>610</v>
      </c>
      <c r="Q754" s="126">
        <f>15306.1+927.8</f>
        <v>16233.9</v>
      </c>
      <c r="R754" s="126">
        <v>0</v>
      </c>
      <c r="S754" s="126">
        <v>0</v>
      </c>
    </row>
    <row r="755" spans="1:19" ht="18.75" hidden="1">
      <c r="A755" s="59"/>
      <c r="B755" s="60"/>
      <c r="C755" s="65"/>
      <c r="D755" s="63"/>
      <c r="E755" s="75"/>
      <c r="F755" s="75"/>
      <c r="G755" s="67"/>
      <c r="H755" s="2" t="s">
        <v>299</v>
      </c>
      <c r="I755" s="9">
        <v>672</v>
      </c>
      <c r="J755" s="11">
        <v>7</v>
      </c>
      <c r="K755" s="11">
        <v>1</v>
      </c>
      <c r="L755" s="57" t="s">
        <v>232</v>
      </c>
      <c r="M755" s="58" t="s">
        <v>220</v>
      </c>
      <c r="N755" s="58" t="s">
        <v>223</v>
      </c>
      <c r="O755" s="58" t="s">
        <v>985</v>
      </c>
      <c r="P755" s="3">
        <v>240</v>
      </c>
      <c r="Q755" s="126">
        <f>909.2+18.6-927.8</f>
        <v>0</v>
      </c>
      <c r="R755" s="126">
        <v>0</v>
      </c>
      <c r="S755" s="126">
        <v>0</v>
      </c>
    </row>
    <row r="756" spans="1:19" ht="18.75">
      <c r="A756" s="59"/>
      <c r="B756" s="60"/>
      <c r="C756" s="65"/>
      <c r="D756" s="63"/>
      <c r="E756" s="75"/>
      <c r="F756" s="75"/>
      <c r="G756" s="67"/>
      <c r="H756" s="2" t="s">
        <v>1067</v>
      </c>
      <c r="I756" s="9">
        <v>672</v>
      </c>
      <c r="J756" s="11">
        <v>7</v>
      </c>
      <c r="K756" s="11">
        <v>1</v>
      </c>
      <c r="L756" s="57" t="s">
        <v>232</v>
      </c>
      <c r="M756" s="58" t="s">
        <v>220</v>
      </c>
      <c r="N756" s="58" t="s">
        <v>223</v>
      </c>
      <c r="O756" s="58" t="s">
        <v>1068</v>
      </c>
      <c r="P756" s="3"/>
      <c r="Q756" s="126">
        <f>Q757</f>
        <v>801.2</v>
      </c>
      <c r="R756" s="126">
        <f>R757</f>
        <v>0</v>
      </c>
      <c r="S756" s="126">
        <f>S757</f>
        <v>0</v>
      </c>
    </row>
    <row r="757" spans="1:19" ht="18.75">
      <c r="A757" s="59"/>
      <c r="B757" s="60"/>
      <c r="C757" s="65"/>
      <c r="D757" s="63"/>
      <c r="E757" s="75"/>
      <c r="F757" s="75"/>
      <c r="G757" s="67"/>
      <c r="H757" s="2" t="s">
        <v>301</v>
      </c>
      <c r="I757" s="9">
        <v>672</v>
      </c>
      <c r="J757" s="11">
        <v>7</v>
      </c>
      <c r="K757" s="11">
        <v>1</v>
      </c>
      <c r="L757" s="57" t="s">
        <v>232</v>
      </c>
      <c r="M757" s="58" t="s">
        <v>220</v>
      </c>
      <c r="N757" s="58" t="s">
        <v>223</v>
      </c>
      <c r="O757" s="58" t="s">
        <v>1068</v>
      </c>
      <c r="P757" s="3">
        <v>610</v>
      </c>
      <c r="Q757" s="126">
        <f>801+0.2</f>
        <v>801.2</v>
      </c>
      <c r="R757" s="126">
        <v>0</v>
      </c>
      <c r="S757" s="126">
        <v>0</v>
      </c>
    </row>
    <row r="758" spans="1:19" ht="18.75">
      <c r="A758" s="59"/>
      <c r="B758" s="60"/>
      <c r="C758" s="65"/>
      <c r="D758" s="63"/>
      <c r="E758" s="75"/>
      <c r="F758" s="75"/>
      <c r="G758" s="67"/>
      <c r="H758" s="2" t="s">
        <v>53</v>
      </c>
      <c r="I758" s="9">
        <v>672</v>
      </c>
      <c r="J758" s="11">
        <v>7</v>
      </c>
      <c r="K758" s="11">
        <v>1</v>
      </c>
      <c r="L758" s="57" t="s">
        <v>232</v>
      </c>
      <c r="M758" s="58" t="s">
        <v>220</v>
      </c>
      <c r="N758" s="58" t="s">
        <v>223</v>
      </c>
      <c r="O758" s="58" t="s">
        <v>48</v>
      </c>
      <c r="P758" s="3"/>
      <c r="Q758" s="126">
        <f>Q759</f>
        <v>3287.7</v>
      </c>
      <c r="R758" s="126">
        <f>R759</f>
        <v>0</v>
      </c>
      <c r="S758" s="126">
        <f>S759</f>
        <v>0</v>
      </c>
    </row>
    <row r="759" spans="1:19" ht="18.75">
      <c r="A759" s="59"/>
      <c r="B759" s="60"/>
      <c r="C759" s="65"/>
      <c r="D759" s="63"/>
      <c r="E759" s="75"/>
      <c r="F759" s="75"/>
      <c r="G759" s="67"/>
      <c r="H759" s="2" t="s">
        <v>301</v>
      </c>
      <c r="I759" s="9">
        <v>672</v>
      </c>
      <c r="J759" s="11">
        <v>7</v>
      </c>
      <c r="K759" s="11">
        <v>1</v>
      </c>
      <c r="L759" s="57" t="s">
        <v>232</v>
      </c>
      <c r="M759" s="58" t="s">
        <v>220</v>
      </c>
      <c r="N759" s="58" t="s">
        <v>223</v>
      </c>
      <c r="O759" s="58" t="s">
        <v>48</v>
      </c>
      <c r="P759" s="3">
        <v>610</v>
      </c>
      <c r="Q759" s="126">
        <f>333.2+2536.2+320+98.3</f>
        <v>3287.7</v>
      </c>
      <c r="R759" s="126">
        <v>0</v>
      </c>
      <c r="S759" s="126">
        <v>0</v>
      </c>
    </row>
    <row r="760" spans="1:19" s="113" customFormat="1" ht="19.5">
      <c r="A760" s="89"/>
      <c r="B760" s="90"/>
      <c r="C760" s="100"/>
      <c r="D760" s="97"/>
      <c r="E760" s="101"/>
      <c r="F760" s="101"/>
      <c r="G760" s="102"/>
      <c r="H760" s="227" t="s">
        <v>209</v>
      </c>
      <c r="I760" s="251">
        <v>672</v>
      </c>
      <c r="J760" s="86">
        <v>7</v>
      </c>
      <c r="K760" s="86">
        <v>2</v>
      </c>
      <c r="L760" s="87"/>
      <c r="M760" s="88"/>
      <c r="N760" s="88"/>
      <c r="O760" s="88"/>
      <c r="P760" s="93"/>
      <c r="Q760" s="127">
        <f>Q771+Q813+Q761</f>
        <v>239780.09999999998</v>
      </c>
      <c r="R760" s="127">
        <f>R771+R813+R761</f>
        <v>227397.90000000002</v>
      </c>
      <c r="S760" s="127">
        <f>S771+S813+S761</f>
        <v>234846.4</v>
      </c>
    </row>
    <row r="761" spans="1:19" s="113" customFormat="1" ht="31.5">
      <c r="A761" s="89"/>
      <c r="B761" s="90"/>
      <c r="C761" s="100"/>
      <c r="D761" s="97"/>
      <c r="E761" s="101"/>
      <c r="F761" s="101"/>
      <c r="G761" s="102"/>
      <c r="H761" s="2" t="s">
        <v>583</v>
      </c>
      <c r="I761" s="9">
        <v>672</v>
      </c>
      <c r="J761" s="11">
        <v>7</v>
      </c>
      <c r="K761" s="11">
        <v>2</v>
      </c>
      <c r="L761" s="57" t="s">
        <v>221</v>
      </c>
      <c r="M761" s="58" t="s">
        <v>220</v>
      </c>
      <c r="N761" s="58" t="s">
        <v>229</v>
      </c>
      <c r="O761" s="58" t="s">
        <v>261</v>
      </c>
      <c r="P761" s="3"/>
      <c r="Q761" s="126">
        <f>Q762+Q765+Q768</f>
        <v>134.3</v>
      </c>
      <c r="R761" s="126">
        <f>R762+R765+R768</f>
        <v>0</v>
      </c>
      <c r="S761" s="126">
        <f>S762+S765+S768</f>
        <v>0</v>
      </c>
    </row>
    <row r="762" spans="1:19" s="113" customFormat="1" ht="31.5">
      <c r="A762" s="89"/>
      <c r="B762" s="90"/>
      <c r="C762" s="100"/>
      <c r="D762" s="97"/>
      <c r="E762" s="101"/>
      <c r="F762" s="101"/>
      <c r="G762" s="102"/>
      <c r="H762" s="2" t="s">
        <v>50</v>
      </c>
      <c r="I762" s="9">
        <v>672</v>
      </c>
      <c r="J762" s="11">
        <v>7</v>
      </c>
      <c r="K762" s="11">
        <v>2</v>
      </c>
      <c r="L762" s="57" t="s">
        <v>221</v>
      </c>
      <c r="M762" s="58" t="s">
        <v>220</v>
      </c>
      <c r="N762" s="58" t="s">
        <v>237</v>
      </c>
      <c r="O762" s="58" t="s">
        <v>261</v>
      </c>
      <c r="P762" s="3"/>
      <c r="Q762" s="126">
        <f aca="true" t="shared" si="82" ref="Q762:S763">Q763</f>
        <v>3</v>
      </c>
      <c r="R762" s="126">
        <f t="shared" si="82"/>
        <v>0</v>
      </c>
      <c r="S762" s="126">
        <f t="shared" si="82"/>
        <v>0</v>
      </c>
    </row>
    <row r="763" spans="1:19" s="113" customFormat="1" ht="18.75">
      <c r="A763" s="89"/>
      <c r="B763" s="90"/>
      <c r="C763" s="100"/>
      <c r="D763" s="97"/>
      <c r="E763" s="101"/>
      <c r="F763" s="101"/>
      <c r="G763" s="102"/>
      <c r="H763" s="303" t="s">
        <v>56</v>
      </c>
      <c r="I763" s="9">
        <v>672</v>
      </c>
      <c r="J763" s="11">
        <v>7</v>
      </c>
      <c r="K763" s="11">
        <v>2</v>
      </c>
      <c r="L763" s="57" t="s">
        <v>221</v>
      </c>
      <c r="M763" s="58" t="s">
        <v>220</v>
      </c>
      <c r="N763" s="58" t="s">
        <v>237</v>
      </c>
      <c r="O763" s="58" t="s">
        <v>49</v>
      </c>
      <c r="P763" s="3"/>
      <c r="Q763" s="126">
        <f t="shared" si="82"/>
        <v>3</v>
      </c>
      <c r="R763" s="126">
        <f t="shared" si="82"/>
        <v>0</v>
      </c>
      <c r="S763" s="126">
        <f t="shared" si="82"/>
        <v>0</v>
      </c>
    </row>
    <row r="764" spans="1:19" s="113" customFormat="1" ht="18.75">
      <c r="A764" s="89"/>
      <c r="B764" s="90"/>
      <c r="C764" s="100"/>
      <c r="D764" s="97"/>
      <c r="E764" s="101"/>
      <c r="F764" s="101"/>
      <c r="G764" s="102"/>
      <c r="H764" s="25" t="s">
        <v>301</v>
      </c>
      <c r="I764" s="9">
        <v>672</v>
      </c>
      <c r="J764" s="11">
        <v>7</v>
      </c>
      <c r="K764" s="11">
        <v>2</v>
      </c>
      <c r="L764" s="57" t="s">
        <v>221</v>
      </c>
      <c r="M764" s="58" t="s">
        <v>220</v>
      </c>
      <c r="N764" s="58" t="s">
        <v>237</v>
      </c>
      <c r="O764" s="58" t="s">
        <v>49</v>
      </c>
      <c r="P764" s="3">
        <v>610</v>
      </c>
      <c r="Q764" s="126">
        <v>3</v>
      </c>
      <c r="R764" s="126">
        <v>0</v>
      </c>
      <c r="S764" s="126">
        <v>0</v>
      </c>
    </row>
    <row r="765" spans="1:19" s="113" customFormat="1" ht="31.5">
      <c r="A765" s="89"/>
      <c r="B765" s="90"/>
      <c r="C765" s="100"/>
      <c r="D765" s="97"/>
      <c r="E765" s="101"/>
      <c r="F765" s="101"/>
      <c r="G765" s="102"/>
      <c r="H765" s="2" t="s">
        <v>289</v>
      </c>
      <c r="I765" s="9">
        <v>672</v>
      </c>
      <c r="J765" s="11">
        <v>7</v>
      </c>
      <c r="K765" s="11">
        <v>2</v>
      </c>
      <c r="L765" s="57" t="s">
        <v>221</v>
      </c>
      <c r="M765" s="58" t="s">
        <v>220</v>
      </c>
      <c r="N765" s="58" t="s">
        <v>232</v>
      </c>
      <c r="O765" s="58" t="s">
        <v>261</v>
      </c>
      <c r="P765" s="3"/>
      <c r="Q765" s="126">
        <f aca="true" t="shared" si="83" ref="Q765:S766">Q766</f>
        <v>41.7</v>
      </c>
      <c r="R765" s="126">
        <f t="shared" si="83"/>
        <v>0</v>
      </c>
      <c r="S765" s="126">
        <f t="shared" si="83"/>
        <v>0</v>
      </c>
    </row>
    <row r="766" spans="1:19" s="113" customFormat="1" ht="18.75">
      <c r="A766" s="89"/>
      <c r="B766" s="90"/>
      <c r="C766" s="100"/>
      <c r="D766" s="97"/>
      <c r="E766" s="101"/>
      <c r="F766" s="101"/>
      <c r="G766" s="102"/>
      <c r="H766" s="303" t="s">
        <v>56</v>
      </c>
      <c r="I766" s="9">
        <v>672</v>
      </c>
      <c r="J766" s="11">
        <v>7</v>
      </c>
      <c r="K766" s="11">
        <v>2</v>
      </c>
      <c r="L766" s="57" t="s">
        <v>221</v>
      </c>
      <c r="M766" s="58" t="s">
        <v>220</v>
      </c>
      <c r="N766" s="58" t="s">
        <v>232</v>
      </c>
      <c r="O766" s="58" t="s">
        <v>49</v>
      </c>
      <c r="P766" s="3"/>
      <c r="Q766" s="126">
        <f t="shared" si="83"/>
        <v>41.7</v>
      </c>
      <c r="R766" s="126">
        <f t="shared" si="83"/>
        <v>0</v>
      </c>
      <c r="S766" s="126">
        <f t="shared" si="83"/>
        <v>0</v>
      </c>
    </row>
    <row r="767" spans="1:19" s="113" customFormat="1" ht="18.75">
      <c r="A767" s="89"/>
      <c r="B767" s="90"/>
      <c r="C767" s="100"/>
      <c r="D767" s="97"/>
      <c r="E767" s="101"/>
      <c r="F767" s="101"/>
      <c r="G767" s="102"/>
      <c r="H767" s="25" t="s">
        <v>301</v>
      </c>
      <c r="I767" s="9">
        <v>672</v>
      </c>
      <c r="J767" s="11">
        <v>7</v>
      </c>
      <c r="K767" s="11">
        <v>2</v>
      </c>
      <c r="L767" s="57" t="s">
        <v>221</v>
      </c>
      <c r="M767" s="58" t="s">
        <v>220</v>
      </c>
      <c r="N767" s="58" t="s">
        <v>232</v>
      </c>
      <c r="O767" s="58" t="s">
        <v>49</v>
      </c>
      <c r="P767" s="3">
        <v>610</v>
      </c>
      <c r="Q767" s="126">
        <f>1.1+40.6</f>
        <v>41.7</v>
      </c>
      <c r="R767" s="126">
        <v>0</v>
      </c>
      <c r="S767" s="126">
        <v>0</v>
      </c>
    </row>
    <row r="768" spans="1:19" s="113" customFormat="1" ht="31.5">
      <c r="A768" s="89"/>
      <c r="B768" s="90"/>
      <c r="C768" s="100"/>
      <c r="D768" s="97"/>
      <c r="E768" s="101"/>
      <c r="F768" s="101"/>
      <c r="G768" s="102"/>
      <c r="H768" s="2" t="s">
        <v>2</v>
      </c>
      <c r="I768" s="9">
        <v>672</v>
      </c>
      <c r="J768" s="11">
        <v>7</v>
      </c>
      <c r="K768" s="11">
        <v>2</v>
      </c>
      <c r="L768" s="57" t="s">
        <v>221</v>
      </c>
      <c r="M768" s="58" t="s">
        <v>220</v>
      </c>
      <c r="N768" s="58" t="s">
        <v>223</v>
      </c>
      <c r="O768" s="58" t="s">
        <v>261</v>
      </c>
      <c r="P768" s="3"/>
      <c r="Q768" s="126">
        <f aca="true" t="shared" si="84" ref="Q768:S769">Q769</f>
        <v>89.6</v>
      </c>
      <c r="R768" s="126">
        <f t="shared" si="84"/>
        <v>0</v>
      </c>
      <c r="S768" s="126">
        <f t="shared" si="84"/>
        <v>0</v>
      </c>
    </row>
    <row r="769" spans="1:19" s="113" customFormat="1" ht="18.75">
      <c r="A769" s="89"/>
      <c r="B769" s="90"/>
      <c r="C769" s="100"/>
      <c r="D769" s="97"/>
      <c r="E769" s="101"/>
      <c r="F769" s="101"/>
      <c r="G769" s="102"/>
      <c r="H769" s="303" t="s">
        <v>56</v>
      </c>
      <c r="I769" s="9">
        <v>672</v>
      </c>
      <c r="J769" s="11">
        <v>7</v>
      </c>
      <c r="K769" s="11">
        <v>2</v>
      </c>
      <c r="L769" s="57" t="s">
        <v>221</v>
      </c>
      <c r="M769" s="58" t="s">
        <v>220</v>
      </c>
      <c r="N769" s="58" t="s">
        <v>223</v>
      </c>
      <c r="O769" s="58" t="s">
        <v>49</v>
      </c>
      <c r="P769" s="3"/>
      <c r="Q769" s="126">
        <f t="shared" si="84"/>
        <v>89.6</v>
      </c>
      <c r="R769" s="126">
        <f t="shared" si="84"/>
        <v>0</v>
      </c>
      <c r="S769" s="126">
        <f t="shared" si="84"/>
        <v>0</v>
      </c>
    </row>
    <row r="770" spans="1:19" s="113" customFormat="1" ht="18.75">
      <c r="A770" s="89"/>
      <c r="B770" s="90"/>
      <c r="C770" s="100"/>
      <c r="D770" s="97"/>
      <c r="E770" s="101"/>
      <c r="F770" s="101"/>
      <c r="G770" s="102"/>
      <c r="H770" s="25" t="s">
        <v>301</v>
      </c>
      <c r="I770" s="9">
        <v>672</v>
      </c>
      <c r="J770" s="11">
        <v>7</v>
      </c>
      <c r="K770" s="11">
        <v>2</v>
      </c>
      <c r="L770" s="57" t="s">
        <v>221</v>
      </c>
      <c r="M770" s="58" t="s">
        <v>220</v>
      </c>
      <c r="N770" s="58" t="s">
        <v>223</v>
      </c>
      <c r="O770" s="58" t="s">
        <v>49</v>
      </c>
      <c r="P770" s="3">
        <v>610</v>
      </c>
      <c r="Q770" s="126">
        <f>27+62.6</f>
        <v>89.6</v>
      </c>
      <c r="R770" s="126">
        <v>0</v>
      </c>
      <c r="S770" s="126">
        <v>0</v>
      </c>
    </row>
    <row r="771" spans="1:19" ht="31.5">
      <c r="A771" s="59"/>
      <c r="B771" s="60"/>
      <c r="C771" s="65"/>
      <c r="D771" s="63"/>
      <c r="E771" s="75"/>
      <c r="F771" s="75"/>
      <c r="G771" s="67"/>
      <c r="H771" s="2" t="s">
        <v>581</v>
      </c>
      <c r="I771" s="9">
        <v>672</v>
      </c>
      <c r="J771" s="11">
        <v>7</v>
      </c>
      <c r="K771" s="11">
        <v>2</v>
      </c>
      <c r="L771" s="57" t="s">
        <v>232</v>
      </c>
      <c r="M771" s="58" t="s">
        <v>220</v>
      </c>
      <c r="N771" s="58" t="s">
        <v>229</v>
      </c>
      <c r="O771" s="58" t="s">
        <v>261</v>
      </c>
      <c r="P771" s="3"/>
      <c r="Q771" s="126">
        <f>Q775+Q810+Q796+Q790+Q772+Q793</f>
        <v>239645.8</v>
      </c>
      <c r="R771" s="126">
        <f>R775+R810+R796+R790+R772+R793</f>
        <v>227397.90000000002</v>
      </c>
      <c r="S771" s="126">
        <f>S775+S810+S796+S790+S772+S793</f>
        <v>234846.4</v>
      </c>
    </row>
    <row r="772" spans="1:19" ht="18.75" hidden="1">
      <c r="A772" s="59"/>
      <c r="B772" s="60"/>
      <c r="C772" s="65"/>
      <c r="D772" s="63"/>
      <c r="E772" s="66"/>
      <c r="F772" s="66"/>
      <c r="G772" s="67"/>
      <c r="H772" s="2" t="s">
        <v>270</v>
      </c>
      <c r="I772" s="9">
        <v>672</v>
      </c>
      <c r="J772" s="11">
        <v>7</v>
      </c>
      <c r="K772" s="11">
        <v>2</v>
      </c>
      <c r="L772" s="57" t="s">
        <v>232</v>
      </c>
      <c r="M772" s="58" t="s">
        <v>220</v>
      </c>
      <c r="N772" s="58" t="s">
        <v>221</v>
      </c>
      <c r="O772" s="58" t="s">
        <v>261</v>
      </c>
      <c r="P772" s="3"/>
      <c r="Q772" s="126">
        <f aca="true" t="shared" si="85" ref="Q772:S773">Q773</f>
        <v>0</v>
      </c>
      <c r="R772" s="126">
        <f t="shared" si="85"/>
        <v>0</v>
      </c>
      <c r="S772" s="126">
        <f t="shared" si="85"/>
        <v>0</v>
      </c>
    </row>
    <row r="773" spans="1:19" ht="18.75" hidden="1">
      <c r="A773" s="59"/>
      <c r="B773" s="60"/>
      <c r="C773" s="65"/>
      <c r="D773" s="63"/>
      <c r="E773" s="66"/>
      <c r="F773" s="66"/>
      <c r="G773" s="67"/>
      <c r="H773" s="2" t="s">
        <v>56</v>
      </c>
      <c r="I773" s="9">
        <v>672</v>
      </c>
      <c r="J773" s="11">
        <v>7</v>
      </c>
      <c r="K773" s="11">
        <v>2</v>
      </c>
      <c r="L773" s="57" t="s">
        <v>232</v>
      </c>
      <c r="M773" s="58" t="s">
        <v>220</v>
      </c>
      <c r="N773" s="58" t="s">
        <v>221</v>
      </c>
      <c r="O773" s="58" t="s">
        <v>49</v>
      </c>
      <c r="P773" s="3"/>
      <c r="Q773" s="126">
        <f t="shared" si="85"/>
        <v>0</v>
      </c>
      <c r="R773" s="126">
        <f t="shared" si="85"/>
        <v>0</v>
      </c>
      <c r="S773" s="126">
        <f t="shared" si="85"/>
        <v>0</v>
      </c>
    </row>
    <row r="774" spans="1:19" ht="18.75" hidden="1">
      <c r="A774" s="59"/>
      <c r="B774" s="60"/>
      <c r="C774" s="65"/>
      <c r="D774" s="63"/>
      <c r="E774" s="66"/>
      <c r="F774" s="66"/>
      <c r="G774" s="67"/>
      <c r="H774" s="2" t="s">
        <v>301</v>
      </c>
      <c r="I774" s="9">
        <v>672</v>
      </c>
      <c r="J774" s="11">
        <v>7</v>
      </c>
      <c r="K774" s="11">
        <v>2</v>
      </c>
      <c r="L774" s="57" t="s">
        <v>232</v>
      </c>
      <c r="M774" s="58" t="s">
        <v>220</v>
      </c>
      <c r="N774" s="58" t="s">
        <v>221</v>
      </c>
      <c r="O774" s="58" t="s">
        <v>49</v>
      </c>
      <c r="P774" s="3">
        <v>610</v>
      </c>
      <c r="Q774" s="126">
        <v>0</v>
      </c>
      <c r="R774" s="126">
        <v>0</v>
      </c>
      <c r="S774" s="126">
        <v>0</v>
      </c>
    </row>
    <row r="775" spans="1:19" ht="18.75">
      <c r="A775" s="59"/>
      <c r="B775" s="60"/>
      <c r="C775" s="65"/>
      <c r="D775" s="63"/>
      <c r="E775" s="66"/>
      <c r="F775" s="66"/>
      <c r="G775" s="67"/>
      <c r="H775" s="2" t="s">
        <v>271</v>
      </c>
      <c r="I775" s="9">
        <v>672</v>
      </c>
      <c r="J775" s="4">
        <v>7</v>
      </c>
      <c r="K775" s="11">
        <v>2</v>
      </c>
      <c r="L775" s="57" t="s">
        <v>232</v>
      </c>
      <c r="M775" s="58" t="s">
        <v>220</v>
      </c>
      <c r="N775" s="58" t="s">
        <v>236</v>
      </c>
      <c r="O775" s="58" t="s">
        <v>261</v>
      </c>
      <c r="P775" s="3"/>
      <c r="Q775" s="126">
        <f>Q776+Q778+Q780+Q782+Q784+Q786+Q788</f>
        <v>220530.5</v>
      </c>
      <c r="R775" s="126">
        <f>R776+R778+R780+R782+R784+R786+R788</f>
        <v>225614.90000000002</v>
      </c>
      <c r="S775" s="126">
        <f>S776+S778+S780+S782+S784+S786+S788</f>
        <v>233902.9</v>
      </c>
    </row>
    <row r="776" spans="1:19" ht="18.75">
      <c r="A776" s="59"/>
      <c r="B776" s="60"/>
      <c r="C776" s="65"/>
      <c r="D776" s="63"/>
      <c r="E776" s="66"/>
      <c r="F776" s="66"/>
      <c r="G776" s="67"/>
      <c r="H776" s="2" t="s">
        <v>56</v>
      </c>
      <c r="I776" s="9">
        <v>672</v>
      </c>
      <c r="J776" s="4">
        <v>7</v>
      </c>
      <c r="K776" s="11">
        <v>2</v>
      </c>
      <c r="L776" s="57" t="s">
        <v>232</v>
      </c>
      <c r="M776" s="58" t="s">
        <v>220</v>
      </c>
      <c r="N776" s="58" t="s">
        <v>236</v>
      </c>
      <c r="O776" s="58" t="s">
        <v>49</v>
      </c>
      <c r="P776" s="3"/>
      <c r="Q776" s="126">
        <f>Q777</f>
        <v>52580.1</v>
      </c>
      <c r="R776" s="126">
        <f>R777</f>
        <v>51688.7</v>
      </c>
      <c r="S776" s="126">
        <f>S777</f>
        <v>48482.3</v>
      </c>
    </row>
    <row r="777" spans="1:19" ht="18.75">
      <c r="A777" s="59"/>
      <c r="B777" s="60"/>
      <c r="C777" s="65"/>
      <c r="D777" s="63"/>
      <c r="E777" s="66"/>
      <c r="F777" s="66"/>
      <c r="G777" s="67"/>
      <c r="H777" s="2" t="s">
        <v>301</v>
      </c>
      <c r="I777" s="9">
        <v>672</v>
      </c>
      <c r="J777" s="4">
        <v>7</v>
      </c>
      <c r="K777" s="11">
        <v>2</v>
      </c>
      <c r="L777" s="57" t="s">
        <v>232</v>
      </c>
      <c r="M777" s="58" t="s">
        <v>220</v>
      </c>
      <c r="N777" s="58" t="s">
        <v>236</v>
      </c>
      <c r="O777" s="58" t="s">
        <v>49</v>
      </c>
      <c r="P777" s="3">
        <v>610</v>
      </c>
      <c r="Q777" s="126">
        <f>49056.3-49.3+12.2+18.7+6+14.5+19+380+14+17.4+9.8+2.1+3000+79.4</f>
        <v>52580.1</v>
      </c>
      <c r="R777" s="126">
        <f>51752.2-63.5</f>
        <v>51688.7</v>
      </c>
      <c r="S777" s="126">
        <f>49004.9-60-462.6</f>
        <v>48482.3</v>
      </c>
    </row>
    <row r="778" spans="1:19" ht="78.75">
      <c r="A778" s="59"/>
      <c r="B778" s="60"/>
      <c r="C778" s="65"/>
      <c r="D778" s="63"/>
      <c r="E778" s="66"/>
      <c r="F778" s="66"/>
      <c r="G778" s="67"/>
      <c r="H778" s="2" t="s">
        <v>453</v>
      </c>
      <c r="I778" s="9">
        <v>672</v>
      </c>
      <c r="J778" s="4">
        <v>7</v>
      </c>
      <c r="K778" s="11">
        <v>2</v>
      </c>
      <c r="L778" s="57" t="s">
        <v>232</v>
      </c>
      <c r="M778" s="58" t="s">
        <v>220</v>
      </c>
      <c r="N778" s="58" t="s">
        <v>236</v>
      </c>
      <c r="O778" s="58" t="s">
        <v>452</v>
      </c>
      <c r="P778" s="3"/>
      <c r="Q778" s="126">
        <f>Q779</f>
        <v>9253.3</v>
      </c>
      <c r="R778" s="126">
        <f>R779</f>
        <v>9382.8</v>
      </c>
      <c r="S778" s="126">
        <f>S779</f>
        <v>9429.7</v>
      </c>
    </row>
    <row r="779" spans="1:19" ht="18.75">
      <c r="A779" s="59"/>
      <c r="B779" s="60"/>
      <c r="C779" s="65"/>
      <c r="D779" s="63"/>
      <c r="E779" s="66"/>
      <c r="F779" s="66"/>
      <c r="G779" s="67"/>
      <c r="H779" s="2" t="s">
        <v>301</v>
      </c>
      <c r="I779" s="9">
        <v>672</v>
      </c>
      <c r="J779" s="4">
        <v>7</v>
      </c>
      <c r="K779" s="11">
        <v>2</v>
      </c>
      <c r="L779" s="57" t="s">
        <v>232</v>
      </c>
      <c r="M779" s="58" t="s">
        <v>220</v>
      </c>
      <c r="N779" s="58" t="s">
        <v>236</v>
      </c>
      <c r="O779" s="58" t="s">
        <v>452</v>
      </c>
      <c r="P779" s="3">
        <v>610</v>
      </c>
      <c r="Q779" s="126">
        <v>9253.3</v>
      </c>
      <c r="R779" s="126">
        <v>9382.8</v>
      </c>
      <c r="S779" s="126">
        <v>9429.7</v>
      </c>
    </row>
    <row r="780" spans="1:19" ht="31.5">
      <c r="A780" s="59"/>
      <c r="B780" s="60"/>
      <c r="C780" s="65"/>
      <c r="D780" s="63"/>
      <c r="E780" s="66"/>
      <c r="F780" s="66"/>
      <c r="G780" s="67"/>
      <c r="H780" s="2" t="s">
        <v>374</v>
      </c>
      <c r="I780" s="9">
        <v>672</v>
      </c>
      <c r="J780" s="4">
        <v>7</v>
      </c>
      <c r="K780" s="11">
        <v>2</v>
      </c>
      <c r="L780" s="57" t="s">
        <v>232</v>
      </c>
      <c r="M780" s="58" t="s">
        <v>220</v>
      </c>
      <c r="N780" s="58" t="s">
        <v>236</v>
      </c>
      <c r="O780" s="58" t="s">
        <v>373</v>
      </c>
      <c r="P780" s="3"/>
      <c r="Q780" s="126">
        <f>Q781</f>
        <v>13596.4</v>
      </c>
      <c r="R780" s="126">
        <f>R781</f>
        <v>14133.3</v>
      </c>
      <c r="S780" s="126">
        <f>S781</f>
        <v>14865</v>
      </c>
    </row>
    <row r="781" spans="1:19" ht="18.75">
      <c r="A781" s="59"/>
      <c r="B781" s="60"/>
      <c r="C781" s="65"/>
      <c r="D781" s="63"/>
      <c r="E781" s="66"/>
      <c r="F781" s="66"/>
      <c r="G781" s="67"/>
      <c r="H781" s="2" t="s">
        <v>301</v>
      </c>
      <c r="I781" s="9">
        <v>672</v>
      </c>
      <c r="J781" s="4">
        <v>7</v>
      </c>
      <c r="K781" s="11">
        <v>2</v>
      </c>
      <c r="L781" s="57" t="s">
        <v>232</v>
      </c>
      <c r="M781" s="58" t="s">
        <v>220</v>
      </c>
      <c r="N781" s="58" t="s">
        <v>236</v>
      </c>
      <c r="O781" s="58" t="s">
        <v>373</v>
      </c>
      <c r="P781" s="3">
        <v>610</v>
      </c>
      <c r="Q781" s="126">
        <v>13596.4</v>
      </c>
      <c r="R781" s="126">
        <v>14133.3</v>
      </c>
      <c r="S781" s="126">
        <v>14865</v>
      </c>
    </row>
    <row r="782" spans="1:19" ht="31.5">
      <c r="A782" s="59"/>
      <c r="B782" s="60"/>
      <c r="C782" s="65"/>
      <c r="D782" s="63"/>
      <c r="E782" s="66"/>
      <c r="F782" s="66"/>
      <c r="G782" s="67"/>
      <c r="H782" s="2" t="s">
        <v>55</v>
      </c>
      <c r="I782" s="9">
        <v>672</v>
      </c>
      <c r="J782" s="4">
        <v>7</v>
      </c>
      <c r="K782" s="11">
        <v>2</v>
      </c>
      <c r="L782" s="57" t="s">
        <v>232</v>
      </c>
      <c r="M782" s="58" t="s">
        <v>220</v>
      </c>
      <c r="N782" s="58" t="s">
        <v>236</v>
      </c>
      <c r="O782" s="58" t="s">
        <v>54</v>
      </c>
      <c r="P782" s="3"/>
      <c r="Q782" s="126">
        <f>Q783</f>
        <v>137252.1</v>
      </c>
      <c r="R782" s="126">
        <f>R783</f>
        <v>142738.6</v>
      </c>
      <c r="S782" s="126">
        <f>S783</f>
        <v>153672.5</v>
      </c>
    </row>
    <row r="783" spans="1:19" ht="18.75">
      <c r="A783" s="59"/>
      <c r="B783" s="60"/>
      <c r="C783" s="65"/>
      <c r="D783" s="63"/>
      <c r="E783" s="66"/>
      <c r="F783" s="66"/>
      <c r="G783" s="67"/>
      <c r="H783" s="2" t="s">
        <v>301</v>
      </c>
      <c r="I783" s="9">
        <v>672</v>
      </c>
      <c r="J783" s="4">
        <v>7</v>
      </c>
      <c r="K783" s="11">
        <v>2</v>
      </c>
      <c r="L783" s="57" t="s">
        <v>232</v>
      </c>
      <c r="M783" s="58" t="s">
        <v>220</v>
      </c>
      <c r="N783" s="58" t="s">
        <v>236</v>
      </c>
      <c r="O783" s="58" t="s">
        <v>54</v>
      </c>
      <c r="P783" s="3">
        <v>610</v>
      </c>
      <c r="Q783" s="126">
        <f>135155.1+2097</f>
        <v>137252.1</v>
      </c>
      <c r="R783" s="126">
        <v>142738.6</v>
      </c>
      <c r="S783" s="126">
        <v>153672.5</v>
      </c>
    </row>
    <row r="784" spans="1:19" ht="31.5">
      <c r="A784" s="59"/>
      <c r="B784" s="60"/>
      <c r="C784" s="65"/>
      <c r="D784" s="63"/>
      <c r="E784" s="66"/>
      <c r="F784" s="66"/>
      <c r="G784" s="67"/>
      <c r="H784" s="2" t="s">
        <v>454</v>
      </c>
      <c r="I784" s="9">
        <v>672</v>
      </c>
      <c r="J784" s="4">
        <v>7</v>
      </c>
      <c r="K784" s="11">
        <v>2</v>
      </c>
      <c r="L784" s="57" t="s">
        <v>232</v>
      </c>
      <c r="M784" s="58" t="s">
        <v>220</v>
      </c>
      <c r="N784" s="58" t="s">
        <v>236</v>
      </c>
      <c r="O784" s="58" t="s">
        <v>354</v>
      </c>
      <c r="P784" s="3"/>
      <c r="Q784" s="126">
        <f>Q785</f>
        <v>7848.6</v>
      </c>
      <c r="R784" s="126">
        <f>R785</f>
        <v>7671.5</v>
      </c>
      <c r="S784" s="126">
        <f>S785</f>
        <v>7453.4</v>
      </c>
    </row>
    <row r="785" spans="1:19" ht="18.75">
      <c r="A785" s="59"/>
      <c r="B785" s="60"/>
      <c r="C785" s="65"/>
      <c r="D785" s="63"/>
      <c r="E785" s="66"/>
      <c r="F785" s="66"/>
      <c r="G785" s="67"/>
      <c r="H785" s="2" t="s">
        <v>301</v>
      </c>
      <c r="I785" s="9">
        <v>672</v>
      </c>
      <c r="J785" s="4">
        <v>7</v>
      </c>
      <c r="K785" s="11">
        <v>2</v>
      </c>
      <c r="L785" s="57" t="s">
        <v>232</v>
      </c>
      <c r="M785" s="58" t="s">
        <v>220</v>
      </c>
      <c r="N785" s="58" t="s">
        <v>236</v>
      </c>
      <c r="O785" s="58" t="s">
        <v>354</v>
      </c>
      <c r="P785" s="3">
        <v>610</v>
      </c>
      <c r="Q785" s="126">
        <v>7848.6</v>
      </c>
      <c r="R785" s="126">
        <v>7671.5</v>
      </c>
      <c r="S785" s="126">
        <v>7453.4</v>
      </c>
    </row>
    <row r="786" spans="1:19" s="414" customFormat="1" ht="18.75" hidden="1">
      <c r="A786" s="400"/>
      <c r="B786" s="401"/>
      <c r="C786" s="402"/>
      <c r="D786" s="403"/>
      <c r="E786" s="404"/>
      <c r="F786" s="404"/>
      <c r="G786" s="405"/>
      <c r="H786" s="406" t="s">
        <v>1064</v>
      </c>
      <c r="I786" s="407">
        <v>672</v>
      </c>
      <c r="J786" s="408">
        <v>7</v>
      </c>
      <c r="K786" s="409">
        <v>2</v>
      </c>
      <c r="L786" s="410" t="s">
        <v>232</v>
      </c>
      <c r="M786" s="411" t="s">
        <v>220</v>
      </c>
      <c r="N786" s="411" t="s">
        <v>236</v>
      </c>
      <c r="O786" s="411" t="s">
        <v>1065</v>
      </c>
      <c r="P786" s="412"/>
      <c r="Q786" s="413">
        <f>Q787</f>
        <v>0</v>
      </c>
      <c r="R786" s="413">
        <f>R787</f>
        <v>0</v>
      </c>
      <c r="S786" s="413">
        <f>S787</f>
        <v>0</v>
      </c>
    </row>
    <row r="787" spans="1:19" s="414" customFormat="1" ht="18.75" hidden="1">
      <c r="A787" s="400"/>
      <c r="B787" s="401"/>
      <c r="C787" s="402"/>
      <c r="D787" s="403"/>
      <c r="E787" s="404"/>
      <c r="F787" s="404"/>
      <c r="G787" s="405"/>
      <c r="H787" s="406" t="s">
        <v>301</v>
      </c>
      <c r="I787" s="407">
        <v>672</v>
      </c>
      <c r="J787" s="408">
        <v>7</v>
      </c>
      <c r="K787" s="409">
        <v>2</v>
      </c>
      <c r="L787" s="410" t="s">
        <v>232</v>
      </c>
      <c r="M787" s="411" t="s">
        <v>220</v>
      </c>
      <c r="N787" s="411" t="s">
        <v>236</v>
      </c>
      <c r="O787" s="411" t="s">
        <v>1065</v>
      </c>
      <c r="P787" s="412">
        <v>610</v>
      </c>
      <c r="Q787" s="413">
        <v>0</v>
      </c>
      <c r="R787" s="413">
        <v>0</v>
      </c>
      <c r="S787" s="413">
        <v>0</v>
      </c>
    </row>
    <row r="788" spans="1:19" s="414" customFormat="1" ht="18.75" hidden="1">
      <c r="A788" s="400"/>
      <c r="B788" s="401"/>
      <c r="C788" s="402"/>
      <c r="D788" s="403"/>
      <c r="E788" s="404"/>
      <c r="F788" s="404"/>
      <c r="G788" s="405"/>
      <c r="H788" s="406" t="s">
        <v>1069</v>
      </c>
      <c r="I788" s="407">
        <v>672</v>
      </c>
      <c r="J788" s="408">
        <v>7</v>
      </c>
      <c r="K788" s="409">
        <v>2</v>
      </c>
      <c r="L788" s="410" t="s">
        <v>232</v>
      </c>
      <c r="M788" s="411" t="s">
        <v>220</v>
      </c>
      <c r="N788" s="411" t="s">
        <v>236</v>
      </c>
      <c r="O788" s="411" t="s">
        <v>1070</v>
      </c>
      <c r="P788" s="412"/>
      <c r="Q788" s="413">
        <f>Q789</f>
        <v>0</v>
      </c>
      <c r="R788" s="413">
        <f>R789</f>
        <v>0</v>
      </c>
      <c r="S788" s="413">
        <f>S789</f>
        <v>0</v>
      </c>
    </row>
    <row r="789" spans="1:19" s="414" customFormat="1" ht="18.75" hidden="1">
      <c r="A789" s="400"/>
      <c r="B789" s="401"/>
      <c r="C789" s="402"/>
      <c r="D789" s="403"/>
      <c r="E789" s="404"/>
      <c r="F789" s="404"/>
      <c r="G789" s="405"/>
      <c r="H789" s="406" t="s">
        <v>301</v>
      </c>
      <c r="I789" s="407">
        <v>672</v>
      </c>
      <c r="J789" s="408">
        <v>7</v>
      </c>
      <c r="K789" s="409">
        <v>2</v>
      </c>
      <c r="L789" s="410" t="s">
        <v>232</v>
      </c>
      <c r="M789" s="411" t="s">
        <v>220</v>
      </c>
      <c r="N789" s="411" t="s">
        <v>236</v>
      </c>
      <c r="O789" s="411" t="s">
        <v>1070</v>
      </c>
      <c r="P789" s="412">
        <v>610</v>
      </c>
      <c r="Q789" s="413">
        <v>0</v>
      </c>
      <c r="R789" s="413">
        <v>0</v>
      </c>
      <c r="S789" s="413">
        <v>0</v>
      </c>
    </row>
    <row r="790" spans="1:19" ht="18.75">
      <c r="A790" s="59"/>
      <c r="B790" s="60"/>
      <c r="C790" s="65"/>
      <c r="D790" s="63"/>
      <c r="E790" s="66"/>
      <c r="F790" s="66"/>
      <c r="G790" s="67"/>
      <c r="H790" s="2" t="s">
        <v>582</v>
      </c>
      <c r="I790" s="9">
        <v>672</v>
      </c>
      <c r="J790" s="4">
        <v>7</v>
      </c>
      <c r="K790" s="11">
        <v>2</v>
      </c>
      <c r="L790" s="57" t="s">
        <v>232</v>
      </c>
      <c r="M790" s="58" t="s">
        <v>220</v>
      </c>
      <c r="N790" s="58" t="s">
        <v>237</v>
      </c>
      <c r="O790" s="58" t="s">
        <v>261</v>
      </c>
      <c r="P790" s="3"/>
      <c r="Q790" s="126">
        <f aca="true" t="shared" si="86" ref="Q790:S791">Q791</f>
        <v>43.400000000000006</v>
      </c>
      <c r="R790" s="126">
        <f t="shared" si="86"/>
        <v>0</v>
      </c>
      <c r="S790" s="126">
        <f t="shared" si="86"/>
        <v>0</v>
      </c>
    </row>
    <row r="791" spans="1:19" ht="18.75">
      <c r="A791" s="59"/>
      <c r="B791" s="60"/>
      <c r="C791" s="65"/>
      <c r="D791" s="63"/>
      <c r="E791" s="66"/>
      <c r="F791" s="66"/>
      <c r="G791" s="67"/>
      <c r="H791" s="2" t="s">
        <v>56</v>
      </c>
      <c r="I791" s="9">
        <v>672</v>
      </c>
      <c r="J791" s="4">
        <v>7</v>
      </c>
      <c r="K791" s="11">
        <v>2</v>
      </c>
      <c r="L791" s="57" t="s">
        <v>232</v>
      </c>
      <c r="M791" s="58" t="s">
        <v>220</v>
      </c>
      <c r="N791" s="58" t="s">
        <v>237</v>
      </c>
      <c r="O791" s="58" t="s">
        <v>49</v>
      </c>
      <c r="P791" s="3"/>
      <c r="Q791" s="126">
        <f t="shared" si="86"/>
        <v>43.400000000000006</v>
      </c>
      <c r="R791" s="126">
        <f t="shared" si="86"/>
        <v>0</v>
      </c>
      <c r="S791" s="126">
        <f t="shared" si="86"/>
        <v>0</v>
      </c>
    </row>
    <row r="792" spans="1:19" ht="18.75">
      <c r="A792" s="59"/>
      <c r="B792" s="60"/>
      <c r="C792" s="65"/>
      <c r="D792" s="63"/>
      <c r="E792" s="66"/>
      <c r="F792" s="66"/>
      <c r="G792" s="67"/>
      <c r="H792" s="2" t="s">
        <v>301</v>
      </c>
      <c r="I792" s="9">
        <v>672</v>
      </c>
      <c r="J792" s="4">
        <v>7</v>
      </c>
      <c r="K792" s="11">
        <v>2</v>
      </c>
      <c r="L792" s="57" t="s">
        <v>232</v>
      </c>
      <c r="M792" s="58" t="s">
        <v>220</v>
      </c>
      <c r="N792" s="58" t="s">
        <v>237</v>
      </c>
      <c r="O792" s="58" t="s">
        <v>49</v>
      </c>
      <c r="P792" s="3">
        <v>610</v>
      </c>
      <c r="Q792" s="126">
        <f>32.2+2.2+9</f>
        <v>43.400000000000006</v>
      </c>
      <c r="R792" s="126">
        <v>0</v>
      </c>
      <c r="S792" s="126">
        <v>0</v>
      </c>
    </row>
    <row r="793" spans="1:19" ht="18.75">
      <c r="A793" s="59"/>
      <c r="B793" s="60"/>
      <c r="C793" s="65"/>
      <c r="D793" s="63"/>
      <c r="E793" s="66"/>
      <c r="F793" s="66"/>
      <c r="G793" s="67"/>
      <c r="H793" s="2" t="s">
        <v>584</v>
      </c>
      <c r="I793" s="9">
        <v>672</v>
      </c>
      <c r="J793" s="4">
        <v>7</v>
      </c>
      <c r="K793" s="11">
        <v>2</v>
      </c>
      <c r="L793" s="57" t="s">
        <v>232</v>
      </c>
      <c r="M793" s="58" t="s">
        <v>220</v>
      </c>
      <c r="N793" s="58" t="s">
        <v>232</v>
      </c>
      <c r="O793" s="58" t="s">
        <v>261</v>
      </c>
      <c r="P793" s="3"/>
      <c r="Q793" s="126">
        <f>Q794</f>
        <v>7.6</v>
      </c>
      <c r="R793" s="126">
        <f aca="true" t="shared" si="87" ref="Q793:S794">R794</f>
        <v>0</v>
      </c>
      <c r="S793" s="126">
        <f t="shared" si="87"/>
        <v>0</v>
      </c>
    </row>
    <row r="794" spans="1:19" ht="18.75">
      <c r="A794" s="59"/>
      <c r="B794" s="60"/>
      <c r="C794" s="65"/>
      <c r="D794" s="63"/>
      <c r="E794" s="66"/>
      <c r="F794" s="66"/>
      <c r="G794" s="67"/>
      <c r="H794" s="2" t="s">
        <v>56</v>
      </c>
      <c r="I794" s="9">
        <v>672</v>
      </c>
      <c r="J794" s="4">
        <v>7</v>
      </c>
      <c r="K794" s="11">
        <v>2</v>
      </c>
      <c r="L794" s="57" t="s">
        <v>232</v>
      </c>
      <c r="M794" s="58" t="s">
        <v>220</v>
      </c>
      <c r="N794" s="58" t="s">
        <v>232</v>
      </c>
      <c r="O794" s="58" t="s">
        <v>49</v>
      </c>
      <c r="P794" s="3"/>
      <c r="Q794" s="126">
        <f t="shared" si="87"/>
        <v>7.6</v>
      </c>
      <c r="R794" s="126">
        <f t="shared" si="87"/>
        <v>0</v>
      </c>
      <c r="S794" s="126">
        <f t="shared" si="87"/>
        <v>0</v>
      </c>
    </row>
    <row r="795" spans="1:19" ht="18.75">
      <c r="A795" s="59"/>
      <c r="B795" s="60"/>
      <c r="C795" s="65"/>
      <c r="D795" s="63"/>
      <c r="E795" s="66"/>
      <c r="F795" s="66"/>
      <c r="G795" s="67"/>
      <c r="H795" s="2" t="s">
        <v>301</v>
      </c>
      <c r="I795" s="9">
        <v>672</v>
      </c>
      <c r="J795" s="4">
        <v>7</v>
      </c>
      <c r="K795" s="11">
        <v>2</v>
      </c>
      <c r="L795" s="57" t="s">
        <v>232</v>
      </c>
      <c r="M795" s="58" t="s">
        <v>220</v>
      </c>
      <c r="N795" s="58" t="s">
        <v>232</v>
      </c>
      <c r="O795" s="58" t="s">
        <v>49</v>
      </c>
      <c r="P795" s="3">
        <v>610</v>
      </c>
      <c r="Q795" s="126">
        <v>7.6</v>
      </c>
      <c r="R795" s="126">
        <v>0</v>
      </c>
      <c r="S795" s="126">
        <v>0</v>
      </c>
    </row>
    <row r="796" spans="1:19" ht="18.75">
      <c r="A796" s="59"/>
      <c r="B796" s="60"/>
      <c r="C796" s="65"/>
      <c r="D796" s="63"/>
      <c r="E796" s="66"/>
      <c r="F796" s="66"/>
      <c r="G796" s="67"/>
      <c r="H796" s="2" t="s">
        <v>839</v>
      </c>
      <c r="I796" s="9">
        <v>672</v>
      </c>
      <c r="J796" s="4">
        <v>7</v>
      </c>
      <c r="K796" s="11">
        <v>2</v>
      </c>
      <c r="L796" s="57" t="s">
        <v>232</v>
      </c>
      <c r="M796" s="58" t="s">
        <v>220</v>
      </c>
      <c r="N796" s="58" t="s">
        <v>223</v>
      </c>
      <c r="O796" s="58" t="s">
        <v>261</v>
      </c>
      <c r="P796" s="3"/>
      <c r="Q796" s="126">
        <f>Q797+Q800+Q803+Q805+Q801+Q808</f>
        <v>18281.5</v>
      </c>
      <c r="R796" s="126">
        <f>R797+R800+R803+R805+R801+R808</f>
        <v>1000.2</v>
      </c>
      <c r="S796" s="126">
        <f>S797+S800+S803+S805+S801+S808</f>
        <v>0</v>
      </c>
    </row>
    <row r="797" spans="1:19" ht="18.75">
      <c r="A797" s="59"/>
      <c r="B797" s="60"/>
      <c r="C797" s="65"/>
      <c r="D797" s="63"/>
      <c r="E797" s="66"/>
      <c r="F797" s="66"/>
      <c r="G797" s="67"/>
      <c r="H797" s="2" t="s">
        <v>56</v>
      </c>
      <c r="I797" s="9">
        <v>672</v>
      </c>
      <c r="J797" s="4">
        <v>7</v>
      </c>
      <c r="K797" s="11">
        <v>2</v>
      </c>
      <c r="L797" s="57" t="s">
        <v>232</v>
      </c>
      <c r="M797" s="58" t="s">
        <v>220</v>
      </c>
      <c r="N797" s="58" t="s">
        <v>223</v>
      </c>
      <c r="O797" s="58" t="s">
        <v>49</v>
      </c>
      <c r="P797" s="3"/>
      <c r="Q797" s="126">
        <f>Q798</f>
        <v>9280.4</v>
      </c>
      <c r="R797" s="126">
        <f>R798</f>
        <v>0</v>
      </c>
      <c r="S797" s="126">
        <f>S798</f>
        <v>0</v>
      </c>
    </row>
    <row r="798" spans="1:19" ht="18.75">
      <c r="A798" s="59"/>
      <c r="B798" s="60"/>
      <c r="C798" s="65"/>
      <c r="D798" s="63"/>
      <c r="E798" s="66"/>
      <c r="F798" s="66"/>
      <c r="G798" s="67"/>
      <c r="H798" s="2" t="s">
        <v>301</v>
      </c>
      <c r="I798" s="9">
        <v>672</v>
      </c>
      <c r="J798" s="4">
        <v>7</v>
      </c>
      <c r="K798" s="11">
        <v>2</v>
      </c>
      <c r="L798" s="57" t="s">
        <v>232</v>
      </c>
      <c r="M798" s="58" t="s">
        <v>220</v>
      </c>
      <c r="N798" s="58" t="s">
        <v>223</v>
      </c>
      <c r="O798" s="58" t="s">
        <v>49</v>
      </c>
      <c r="P798" s="3">
        <v>610</v>
      </c>
      <c r="Q798" s="126">
        <f>3250+4200+580.4+1250</f>
        <v>9280.4</v>
      </c>
      <c r="R798" s="126">
        <v>0</v>
      </c>
      <c r="S798" s="126">
        <v>0</v>
      </c>
    </row>
    <row r="799" spans="1:19" ht="47.25">
      <c r="A799" s="59"/>
      <c r="B799" s="60"/>
      <c r="C799" s="65"/>
      <c r="D799" s="63"/>
      <c r="E799" s="66"/>
      <c r="F799" s="66"/>
      <c r="G799" s="67"/>
      <c r="H799" s="2" t="s">
        <v>983</v>
      </c>
      <c r="I799" s="9">
        <v>672</v>
      </c>
      <c r="J799" s="4">
        <v>7</v>
      </c>
      <c r="K799" s="11">
        <v>2</v>
      </c>
      <c r="L799" s="57" t="s">
        <v>232</v>
      </c>
      <c r="M799" s="58" t="s">
        <v>220</v>
      </c>
      <c r="N799" s="58" t="s">
        <v>223</v>
      </c>
      <c r="O799" s="58" t="s">
        <v>982</v>
      </c>
      <c r="P799" s="3"/>
      <c r="Q799" s="126">
        <f>Q800</f>
        <v>300</v>
      </c>
      <c r="R799" s="126">
        <f>R800</f>
        <v>0</v>
      </c>
      <c r="S799" s="126">
        <f>S800</f>
        <v>0</v>
      </c>
    </row>
    <row r="800" spans="1:19" ht="18.75">
      <c r="A800" s="59"/>
      <c r="B800" s="60"/>
      <c r="C800" s="65"/>
      <c r="D800" s="63"/>
      <c r="E800" s="66"/>
      <c r="F800" s="66"/>
      <c r="G800" s="67"/>
      <c r="H800" s="2" t="s">
        <v>301</v>
      </c>
      <c r="I800" s="9">
        <v>672</v>
      </c>
      <c r="J800" s="4">
        <v>7</v>
      </c>
      <c r="K800" s="11">
        <v>2</v>
      </c>
      <c r="L800" s="57" t="s">
        <v>232</v>
      </c>
      <c r="M800" s="58" t="s">
        <v>220</v>
      </c>
      <c r="N800" s="58" t="s">
        <v>223</v>
      </c>
      <c r="O800" s="58" t="s">
        <v>982</v>
      </c>
      <c r="P800" s="3">
        <v>610</v>
      </c>
      <c r="Q800" s="126">
        <v>300</v>
      </c>
      <c r="R800" s="126">
        <v>0</v>
      </c>
      <c r="S800" s="126">
        <v>0</v>
      </c>
    </row>
    <row r="801" spans="1:19" ht="31.5">
      <c r="A801" s="59"/>
      <c r="B801" s="60"/>
      <c r="C801" s="65"/>
      <c r="D801" s="63"/>
      <c r="E801" s="75"/>
      <c r="F801" s="75"/>
      <c r="G801" s="67"/>
      <c r="H801" s="2" t="s">
        <v>986</v>
      </c>
      <c r="I801" s="9">
        <v>672</v>
      </c>
      <c r="J801" s="11">
        <v>7</v>
      </c>
      <c r="K801" s="11">
        <v>2</v>
      </c>
      <c r="L801" s="57" t="s">
        <v>232</v>
      </c>
      <c r="M801" s="58" t="s">
        <v>220</v>
      </c>
      <c r="N801" s="58" t="s">
        <v>223</v>
      </c>
      <c r="O801" s="58" t="s">
        <v>985</v>
      </c>
      <c r="P801" s="3"/>
      <c r="Q801" s="126">
        <f>Q802+Q807</f>
        <v>7700.9</v>
      </c>
      <c r="R801" s="126">
        <f>R802+R807</f>
        <v>0</v>
      </c>
      <c r="S801" s="126">
        <f>S802+S807</f>
        <v>0</v>
      </c>
    </row>
    <row r="802" spans="1:19" ht="18.75">
      <c r="A802" s="59"/>
      <c r="B802" s="60"/>
      <c r="C802" s="65"/>
      <c r="D802" s="63"/>
      <c r="E802" s="75"/>
      <c r="F802" s="75"/>
      <c r="G802" s="67"/>
      <c r="H802" s="2" t="s">
        <v>299</v>
      </c>
      <c r="I802" s="9">
        <v>672</v>
      </c>
      <c r="J802" s="11">
        <v>7</v>
      </c>
      <c r="K802" s="11">
        <v>2</v>
      </c>
      <c r="L802" s="57" t="s">
        <v>232</v>
      </c>
      <c r="M802" s="58" t="s">
        <v>220</v>
      </c>
      <c r="N802" s="58" t="s">
        <v>223</v>
      </c>
      <c r="O802" s="58" t="s">
        <v>985</v>
      </c>
      <c r="P802" s="3">
        <v>240</v>
      </c>
      <c r="Q802" s="126">
        <f>1524.8+31.1+4410+1600+45+90-1555.9</f>
        <v>6145</v>
      </c>
      <c r="R802" s="126">
        <v>0</v>
      </c>
      <c r="S802" s="126">
        <v>0</v>
      </c>
    </row>
    <row r="803" spans="1:19" ht="18.75" hidden="1">
      <c r="A803" s="59"/>
      <c r="B803" s="60"/>
      <c r="C803" s="65"/>
      <c r="D803" s="63"/>
      <c r="E803" s="66"/>
      <c r="F803" s="66"/>
      <c r="G803" s="67"/>
      <c r="H803" s="2" t="s">
        <v>1022</v>
      </c>
      <c r="I803" s="5">
        <v>672</v>
      </c>
      <c r="J803" s="4">
        <v>7</v>
      </c>
      <c r="K803" s="11">
        <v>2</v>
      </c>
      <c r="L803" s="57" t="s">
        <v>232</v>
      </c>
      <c r="M803" s="58" t="s">
        <v>220</v>
      </c>
      <c r="N803" s="58" t="s">
        <v>223</v>
      </c>
      <c r="O803" s="58" t="s">
        <v>1020</v>
      </c>
      <c r="P803" s="3"/>
      <c r="Q803" s="126">
        <f>Q804</f>
        <v>0</v>
      </c>
      <c r="R803" s="126">
        <f>R804</f>
        <v>0</v>
      </c>
      <c r="S803" s="126">
        <f>S804</f>
        <v>0</v>
      </c>
    </row>
    <row r="804" spans="1:19" ht="18.75" hidden="1">
      <c r="A804" s="59"/>
      <c r="B804" s="60"/>
      <c r="C804" s="65"/>
      <c r="D804" s="63"/>
      <c r="E804" s="66"/>
      <c r="F804" s="66"/>
      <c r="G804" s="67"/>
      <c r="H804" s="2" t="s">
        <v>301</v>
      </c>
      <c r="I804" s="5">
        <v>672</v>
      </c>
      <c r="J804" s="4">
        <v>7</v>
      </c>
      <c r="K804" s="11">
        <v>2</v>
      </c>
      <c r="L804" s="57" t="s">
        <v>232</v>
      </c>
      <c r="M804" s="58" t="s">
        <v>220</v>
      </c>
      <c r="N804" s="58" t="s">
        <v>223</v>
      </c>
      <c r="O804" s="58" t="s">
        <v>1020</v>
      </c>
      <c r="P804" s="3">
        <v>610</v>
      </c>
      <c r="Q804" s="126">
        <v>0</v>
      </c>
      <c r="R804" s="126">
        <v>0</v>
      </c>
      <c r="S804" s="126">
        <v>0</v>
      </c>
    </row>
    <row r="805" spans="1:19" ht="47.25" hidden="1">
      <c r="A805" s="59"/>
      <c r="B805" s="60"/>
      <c r="C805" s="65"/>
      <c r="D805" s="63"/>
      <c r="E805" s="66"/>
      <c r="F805" s="66"/>
      <c r="G805" s="67"/>
      <c r="H805" s="2" t="s">
        <v>1023</v>
      </c>
      <c r="I805" s="5">
        <v>672</v>
      </c>
      <c r="J805" s="4">
        <v>7</v>
      </c>
      <c r="K805" s="11">
        <v>2</v>
      </c>
      <c r="L805" s="57" t="s">
        <v>232</v>
      </c>
      <c r="M805" s="58" t="s">
        <v>220</v>
      </c>
      <c r="N805" s="58" t="s">
        <v>223</v>
      </c>
      <c r="O805" s="58" t="s">
        <v>1021</v>
      </c>
      <c r="P805" s="3"/>
      <c r="Q805" s="126">
        <f>Q806</f>
        <v>0</v>
      </c>
      <c r="R805" s="126">
        <f>R806</f>
        <v>0</v>
      </c>
      <c r="S805" s="126">
        <f>S806</f>
        <v>0</v>
      </c>
    </row>
    <row r="806" spans="1:19" ht="18.75" hidden="1">
      <c r="A806" s="59"/>
      <c r="B806" s="60"/>
      <c r="C806" s="65"/>
      <c r="D806" s="63"/>
      <c r="E806" s="66"/>
      <c r="F806" s="66"/>
      <c r="G806" s="67"/>
      <c r="H806" s="2" t="s">
        <v>301</v>
      </c>
      <c r="I806" s="5">
        <v>672</v>
      </c>
      <c r="J806" s="4">
        <v>7</v>
      </c>
      <c r="K806" s="11">
        <v>2</v>
      </c>
      <c r="L806" s="57" t="s">
        <v>232</v>
      </c>
      <c r="M806" s="58" t="s">
        <v>220</v>
      </c>
      <c r="N806" s="58" t="s">
        <v>223</v>
      </c>
      <c r="O806" s="58" t="s">
        <v>1021</v>
      </c>
      <c r="P806" s="3">
        <v>610</v>
      </c>
      <c r="Q806" s="126">
        <v>0</v>
      </c>
      <c r="R806" s="126">
        <v>0</v>
      </c>
      <c r="S806" s="126"/>
    </row>
    <row r="807" spans="1:19" ht="18.75">
      <c r="A807" s="59"/>
      <c r="B807" s="60"/>
      <c r="C807" s="65"/>
      <c r="D807" s="63"/>
      <c r="E807" s="66"/>
      <c r="F807" s="66"/>
      <c r="G807" s="67"/>
      <c r="H807" s="2" t="s">
        <v>301</v>
      </c>
      <c r="I807" s="9">
        <v>672</v>
      </c>
      <c r="J807" s="11">
        <v>7</v>
      </c>
      <c r="K807" s="11">
        <v>2</v>
      </c>
      <c r="L807" s="57" t="s">
        <v>232</v>
      </c>
      <c r="M807" s="58" t="s">
        <v>220</v>
      </c>
      <c r="N807" s="58" t="s">
        <v>223</v>
      </c>
      <c r="O807" s="58" t="s">
        <v>985</v>
      </c>
      <c r="P807" s="3">
        <v>610</v>
      </c>
      <c r="Q807" s="126">
        <v>1555.9</v>
      </c>
      <c r="R807" s="126">
        <v>0</v>
      </c>
      <c r="S807" s="126">
        <v>0</v>
      </c>
    </row>
    <row r="808" spans="1:19" ht="18.75">
      <c r="A808" s="59"/>
      <c r="B808" s="60"/>
      <c r="C808" s="65"/>
      <c r="D808" s="63"/>
      <c r="E808" s="66"/>
      <c r="F808" s="66"/>
      <c r="G808" s="67"/>
      <c r="H808" s="2" t="s">
        <v>1064</v>
      </c>
      <c r="I808" s="9">
        <v>672</v>
      </c>
      <c r="J808" s="4">
        <v>7</v>
      </c>
      <c r="K808" s="11">
        <v>2</v>
      </c>
      <c r="L808" s="57" t="s">
        <v>232</v>
      </c>
      <c r="M808" s="58" t="s">
        <v>220</v>
      </c>
      <c r="N808" s="58" t="s">
        <v>223</v>
      </c>
      <c r="O808" s="58" t="s">
        <v>1065</v>
      </c>
      <c r="P808" s="3"/>
      <c r="Q808" s="126">
        <f>Q809</f>
        <v>1000.2</v>
      </c>
      <c r="R808" s="126">
        <f>R809</f>
        <v>1000.2</v>
      </c>
      <c r="S808" s="126">
        <f>S809</f>
        <v>0</v>
      </c>
    </row>
    <row r="809" spans="1:19" ht="18.75">
      <c r="A809" s="59"/>
      <c r="B809" s="60"/>
      <c r="C809" s="65"/>
      <c r="D809" s="63"/>
      <c r="E809" s="66"/>
      <c r="F809" s="66"/>
      <c r="G809" s="67"/>
      <c r="H809" s="2" t="s">
        <v>301</v>
      </c>
      <c r="I809" s="9">
        <v>672</v>
      </c>
      <c r="J809" s="4">
        <v>7</v>
      </c>
      <c r="K809" s="11">
        <v>2</v>
      </c>
      <c r="L809" s="57" t="s">
        <v>232</v>
      </c>
      <c r="M809" s="58" t="s">
        <v>220</v>
      </c>
      <c r="N809" s="58" t="s">
        <v>223</v>
      </c>
      <c r="O809" s="58" t="s">
        <v>1065</v>
      </c>
      <c r="P809" s="3">
        <v>610</v>
      </c>
      <c r="Q809" s="126">
        <f>1000+0.2</f>
        <v>1000.2</v>
      </c>
      <c r="R809" s="126">
        <f>1000+0.2</f>
        <v>1000.2</v>
      </c>
      <c r="S809" s="126">
        <v>0</v>
      </c>
    </row>
    <row r="810" spans="1:19" ht="30">
      <c r="A810" s="59"/>
      <c r="B810" s="60"/>
      <c r="C810" s="65"/>
      <c r="D810" s="63"/>
      <c r="E810" s="66"/>
      <c r="F810" s="66"/>
      <c r="G810" s="67"/>
      <c r="H810" s="361" t="s">
        <v>833</v>
      </c>
      <c r="I810" s="5">
        <v>672</v>
      </c>
      <c r="J810" s="4">
        <v>7</v>
      </c>
      <c r="K810" s="11">
        <v>2</v>
      </c>
      <c r="L810" s="57" t="s">
        <v>232</v>
      </c>
      <c r="M810" s="58" t="s">
        <v>220</v>
      </c>
      <c r="N810" s="58" t="s">
        <v>834</v>
      </c>
      <c r="O810" s="58" t="s">
        <v>261</v>
      </c>
      <c r="P810" s="3"/>
      <c r="Q810" s="126">
        <f aca="true" t="shared" si="88" ref="Q810:S811">Q811</f>
        <v>782.8</v>
      </c>
      <c r="R810" s="126">
        <f t="shared" si="88"/>
        <v>782.8</v>
      </c>
      <c r="S810" s="126">
        <f t="shared" si="88"/>
        <v>943.5</v>
      </c>
    </row>
    <row r="811" spans="1:19" ht="30">
      <c r="A811" s="59"/>
      <c r="B811" s="60"/>
      <c r="C811" s="65"/>
      <c r="D811" s="63"/>
      <c r="E811" s="66"/>
      <c r="F811" s="66"/>
      <c r="G811" s="67"/>
      <c r="H811" s="362" t="s">
        <v>836</v>
      </c>
      <c r="I811" s="5">
        <v>672</v>
      </c>
      <c r="J811" s="4">
        <v>7</v>
      </c>
      <c r="K811" s="11">
        <v>2</v>
      </c>
      <c r="L811" s="57" t="s">
        <v>232</v>
      </c>
      <c r="M811" s="58" t="s">
        <v>220</v>
      </c>
      <c r="N811" s="58" t="s">
        <v>834</v>
      </c>
      <c r="O811" s="58" t="s">
        <v>835</v>
      </c>
      <c r="P811" s="3"/>
      <c r="Q811" s="126">
        <f t="shared" si="88"/>
        <v>782.8</v>
      </c>
      <c r="R811" s="126">
        <f t="shared" si="88"/>
        <v>782.8</v>
      </c>
      <c r="S811" s="126">
        <f t="shared" si="88"/>
        <v>943.5</v>
      </c>
    </row>
    <row r="812" spans="1:19" ht="18.75">
      <c r="A812" s="59"/>
      <c r="B812" s="60"/>
      <c r="C812" s="65"/>
      <c r="D812" s="63"/>
      <c r="E812" s="66"/>
      <c r="F812" s="66"/>
      <c r="G812" s="67"/>
      <c r="H812" s="2" t="s">
        <v>301</v>
      </c>
      <c r="I812" s="5">
        <v>672</v>
      </c>
      <c r="J812" s="4">
        <v>7</v>
      </c>
      <c r="K812" s="11">
        <v>2</v>
      </c>
      <c r="L812" s="57" t="s">
        <v>232</v>
      </c>
      <c r="M812" s="58" t="s">
        <v>220</v>
      </c>
      <c r="N812" s="58" t="s">
        <v>834</v>
      </c>
      <c r="O812" s="58" t="s">
        <v>835</v>
      </c>
      <c r="P812" s="3">
        <v>610</v>
      </c>
      <c r="Q812" s="126">
        <v>782.8</v>
      </c>
      <c r="R812" s="126">
        <v>782.8</v>
      </c>
      <c r="S812" s="126">
        <v>943.5</v>
      </c>
    </row>
    <row r="813" spans="1:19" ht="31.5" hidden="1">
      <c r="A813" s="59"/>
      <c r="B813" s="60"/>
      <c r="C813" s="65"/>
      <c r="D813" s="63"/>
      <c r="E813" s="66"/>
      <c r="F813" s="66"/>
      <c r="G813" s="67"/>
      <c r="H813" s="2" t="s">
        <v>585</v>
      </c>
      <c r="I813" s="9">
        <v>672</v>
      </c>
      <c r="J813" s="4">
        <v>7</v>
      </c>
      <c r="K813" s="11">
        <v>2</v>
      </c>
      <c r="L813" s="57" t="s">
        <v>240</v>
      </c>
      <c r="M813" s="58" t="s">
        <v>220</v>
      </c>
      <c r="N813" s="58" t="s">
        <v>229</v>
      </c>
      <c r="O813" s="58" t="s">
        <v>261</v>
      </c>
      <c r="P813" s="3"/>
      <c r="Q813" s="126">
        <f aca="true" t="shared" si="89" ref="Q813:S815">Q814</f>
        <v>0</v>
      </c>
      <c r="R813" s="126">
        <f t="shared" si="89"/>
        <v>0</v>
      </c>
      <c r="S813" s="126">
        <f t="shared" si="89"/>
        <v>0</v>
      </c>
    </row>
    <row r="814" spans="1:19" ht="31.5" hidden="1">
      <c r="A814" s="59"/>
      <c r="B814" s="60"/>
      <c r="C814" s="65"/>
      <c r="D814" s="63"/>
      <c r="E814" s="66"/>
      <c r="F814" s="66"/>
      <c r="G814" s="67"/>
      <c r="H814" s="2" t="s">
        <v>386</v>
      </c>
      <c r="I814" s="9">
        <v>672</v>
      </c>
      <c r="J814" s="4">
        <v>7</v>
      </c>
      <c r="K814" s="11">
        <v>2</v>
      </c>
      <c r="L814" s="57" t="s">
        <v>240</v>
      </c>
      <c r="M814" s="58" t="s">
        <v>220</v>
      </c>
      <c r="N814" s="58" t="s">
        <v>236</v>
      </c>
      <c r="O814" s="58" t="s">
        <v>261</v>
      </c>
      <c r="P814" s="3"/>
      <c r="Q814" s="126">
        <f t="shared" si="89"/>
        <v>0</v>
      </c>
      <c r="R814" s="126">
        <f t="shared" si="89"/>
        <v>0</v>
      </c>
      <c r="S814" s="126">
        <f t="shared" si="89"/>
        <v>0</v>
      </c>
    </row>
    <row r="815" spans="1:19" ht="18.75" hidden="1">
      <c r="A815" s="59"/>
      <c r="B815" s="60"/>
      <c r="C815" s="65"/>
      <c r="D815" s="63"/>
      <c r="E815" s="66"/>
      <c r="F815" s="66"/>
      <c r="G815" s="67"/>
      <c r="H815" s="2" t="s">
        <v>387</v>
      </c>
      <c r="I815" s="9">
        <v>672</v>
      </c>
      <c r="J815" s="4">
        <v>7</v>
      </c>
      <c r="K815" s="11">
        <v>2</v>
      </c>
      <c r="L815" s="57" t="s">
        <v>240</v>
      </c>
      <c r="M815" s="58" t="s">
        <v>220</v>
      </c>
      <c r="N815" s="58" t="s">
        <v>236</v>
      </c>
      <c r="O815" s="58" t="s">
        <v>4</v>
      </c>
      <c r="P815" s="3"/>
      <c r="Q815" s="126">
        <f t="shared" si="89"/>
        <v>0</v>
      </c>
      <c r="R815" s="126">
        <f t="shared" si="89"/>
        <v>0</v>
      </c>
      <c r="S815" s="126">
        <f t="shared" si="89"/>
        <v>0</v>
      </c>
    </row>
    <row r="816" spans="1:19" ht="18.75" hidden="1">
      <c r="A816" s="59"/>
      <c r="B816" s="60"/>
      <c r="C816" s="65"/>
      <c r="D816" s="63"/>
      <c r="E816" s="66"/>
      <c r="F816" s="66"/>
      <c r="G816" s="67"/>
      <c r="H816" s="2" t="s">
        <v>301</v>
      </c>
      <c r="I816" s="9">
        <v>672</v>
      </c>
      <c r="J816" s="4">
        <v>7</v>
      </c>
      <c r="K816" s="11">
        <v>2</v>
      </c>
      <c r="L816" s="57" t="s">
        <v>240</v>
      </c>
      <c r="M816" s="58" t="s">
        <v>220</v>
      </c>
      <c r="N816" s="58" t="s">
        <v>236</v>
      </c>
      <c r="O816" s="58" t="s">
        <v>4</v>
      </c>
      <c r="P816" s="3">
        <v>610</v>
      </c>
      <c r="Q816" s="126"/>
      <c r="R816" s="126"/>
      <c r="S816" s="126"/>
    </row>
    <row r="817" spans="1:19" s="113" customFormat="1" ht="19.5">
      <c r="A817" s="89"/>
      <c r="B817" s="90"/>
      <c r="C817" s="100"/>
      <c r="D817" s="97"/>
      <c r="E817" s="92"/>
      <c r="F817" s="92"/>
      <c r="G817" s="102"/>
      <c r="H817" s="227" t="s">
        <v>65</v>
      </c>
      <c r="I817" s="251">
        <v>672</v>
      </c>
      <c r="J817" s="95">
        <v>7</v>
      </c>
      <c r="K817" s="86">
        <v>3</v>
      </c>
      <c r="L817" s="87"/>
      <c r="M817" s="88"/>
      <c r="N817" s="88"/>
      <c r="O817" s="88"/>
      <c r="P817" s="93"/>
      <c r="Q817" s="127">
        <f aca="true" t="shared" si="90" ref="Q817:S818">Q818</f>
        <v>11447.199999999999</v>
      </c>
      <c r="R817" s="127">
        <f t="shared" si="90"/>
        <v>10475.5</v>
      </c>
      <c r="S817" s="127">
        <f t="shared" si="90"/>
        <v>10995.7</v>
      </c>
    </row>
    <row r="818" spans="1:19" ht="31.5">
      <c r="A818" s="59"/>
      <c r="B818" s="60"/>
      <c r="C818" s="65"/>
      <c r="D818" s="63"/>
      <c r="E818" s="66"/>
      <c r="F818" s="66"/>
      <c r="G818" s="67"/>
      <c r="H818" s="2" t="s">
        <v>581</v>
      </c>
      <c r="I818" s="9">
        <v>672</v>
      </c>
      <c r="J818" s="4">
        <v>7</v>
      </c>
      <c r="K818" s="11">
        <v>3</v>
      </c>
      <c r="L818" s="57" t="s">
        <v>232</v>
      </c>
      <c r="M818" s="58" t="s">
        <v>220</v>
      </c>
      <c r="N818" s="58" t="s">
        <v>229</v>
      </c>
      <c r="O818" s="58" t="s">
        <v>261</v>
      </c>
      <c r="P818" s="3"/>
      <c r="Q818" s="126">
        <f>Q819+Q824</f>
        <v>11447.199999999999</v>
      </c>
      <c r="R818" s="126">
        <f t="shared" si="90"/>
        <v>10475.5</v>
      </c>
      <c r="S818" s="126">
        <f t="shared" si="90"/>
        <v>10995.7</v>
      </c>
    </row>
    <row r="819" spans="1:19" ht="18.75">
      <c r="A819" s="59"/>
      <c r="B819" s="60"/>
      <c r="C819" s="65"/>
      <c r="D819" s="63"/>
      <c r="E819" s="66"/>
      <c r="F819" s="66"/>
      <c r="G819" s="67"/>
      <c r="H819" s="2" t="s">
        <v>582</v>
      </c>
      <c r="I819" s="9">
        <v>672</v>
      </c>
      <c r="J819" s="4">
        <v>7</v>
      </c>
      <c r="K819" s="11">
        <v>3</v>
      </c>
      <c r="L819" s="57" t="s">
        <v>232</v>
      </c>
      <c r="M819" s="58" t="s">
        <v>220</v>
      </c>
      <c r="N819" s="58" t="s">
        <v>237</v>
      </c>
      <c r="O819" s="58" t="s">
        <v>261</v>
      </c>
      <c r="P819" s="3"/>
      <c r="Q819" s="126">
        <f>Q820+Q822</f>
        <v>10447.199999999999</v>
      </c>
      <c r="R819" s="126">
        <f>R820+R822</f>
        <v>10475.5</v>
      </c>
      <c r="S819" s="126">
        <f>S820+S822</f>
        <v>10995.7</v>
      </c>
    </row>
    <row r="820" spans="1:19" ht="18.75">
      <c r="A820" s="59"/>
      <c r="B820" s="60"/>
      <c r="C820" s="65"/>
      <c r="D820" s="63"/>
      <c r="E820" s="66"/>
      <c r="F820" s="66"/>
      <c r="G820" s="67"/>
      <c r="H820" s="2" t="s">
        <v>57</v>
      </c>
      <c r="I820" s="9">
        <v>672</v>
      </c>
      <c r="J820" s="4">
        <v>7</v>
      </c>
      <c r="K820" s="11">
        <v>3</v>
      </c>
      <c r="L820" s="57" t="s">
        <v>232</v>
      </c>
      <c r="M820" s="58" t="s">
        <v>220</v>
      </c>
      <c r="N820" s="58" t="s">
        <v>237</v>
      </c>
      <c r="O820" s="58" t="s">
        <v>14</v>
      </c>
      <c r="P820" s="3"/>
      <c r="Q820" s="126">
        <f>Q821</f>
        <v>6459.799999999999</v>
      </c>
      <c r="R820" s="126">
        <f>R821</f>
        <v>6106.2</v>
      </c>
      <c r="S820" s="126">
        <f>S821</f>
        <v>6168.4</v>
      </c>
    </row>
    <row r="821" spans="1:19" ht="18.75">
      <c r="A821" s="59"/>
      <c r="B821" s="60"/>
      <c r="C821" s="65"/>
      <c r="D821" s="63"/>
      <c r="E821" s="66"/>
      <c r="F821" s="66"/>
      <c r="G821" s="67"/>
      <c r="H821" s="2" t="s">
        <v>301</v>
      </c>
      <c r="I821" s="9">
        <v>672</v>
      </c>
      <c r="J821" s="4">
        <v>7</v>
      </c>
      <c r="K821" s="11">
        <v>3</v>
      </c>
      <c r="L821" s="57" t="s">
        <v>232</v>
      </c>
      <c r="M821" s="58" t="s">
        <v>220</v>
      </c>
      <c r="N821" s="58" t="s">
        <v>237</v>
      </c>
      <c r="O821" s="58" t="s">
        <v>14</v>
      </c>
      <c r="P821" s="3">
        <v>610</v>
      </c>
      <c r="Q821" s="126">
        <f>6057-1570.3+1973.1</f>
        <v>6459.799999999999</v>
      </c>
      <c r="R821" s="126">
        <v>6106.2</v>
      </c>
      <c r="S821" s="126">
        <v>6168.4</v>
      </c>
    </row>
    <row r="822" spans="1:19" ht="31.5">
      <c r="A822" s="59"/>
      <c r="B822" s="60"/>
      <c r="C822" s="65"/>
      <c r="D822" s="63"/>
      <c r="E822" s="66"/>
      <c r="F822" s="66"/>
      <c r="G822" s="67"/>
      <c r="H822" s="2" t="s">
        <v>374</v>
      </c>
      <c r="I822" s="9">
        <v>672</v>
      </c>
      <c r="J822" s="4">
        <v>7</v>
      </c>
      <c r="K822" s="11">
        <v>3</v>
      </c>
      <c r="L822" s="57" t="s">
        <v>232</v>
      </c>
      <c r="M822" s="58" t="s">
        <v>220</v>
      </c>
      <c r="N822" s="58" t="s">
        <v>237</v>
      </c>
      <c r="O822" s="58" t="s">
        <v>373</v>
      </c>
      <c r="P822" s="3"/>
      <c r="Q822" s="126">
        <f>Q823</f>
        <v>3987.4</v>
      </c>
      <c r="R822" s="126">
        <f>R823</f>
        <v>4369.3</v>
      </c>
      <c r="S822" s="126">
        <f>S823</f>
        <v>4827.3</v>
      </c>
    </row>
    <row r="823" spans="1:19" ht="18.75">
      <c r="A823" s="59"/>
      <c r="B823" s="60"/>
      <c r="C823" s="65"/>
      <c r="D823" s="63"/>
      <c r="E823" s="66"/>
      <c r="F823" s="66"/>
      <c r="G823" s="67"/>
      <c r="H823" s="2" t="s">
        <v>301</v>
      </c>
      <c r="I823" s="9">
        <v>672</v>
      </c>
      <c r="J823" s="4">
        <v>7</v>
      </c>
      <c r="K823" s="11">
        <v>3</v>
      </c>
      <c r="L823" s="57" t="s">
        <v>232</v>
      </c>
      <c r="M823" s="58" t="s">
        <v>220</v>
      </c>
      <c r="N823" s="58" t="s">
        <v>237</v>
      </c>
      <c r="O823" s="58" t="s">
        <v>373</v>
      </c>
      <c r="P823" s="3">
        <v>610</v>
      </c>
      <c r="Q823" s="126">
        <v>3987.4</v>
      </c>
      <c r="R823" s="126">
        <v>4369.3</v>
      </c>
      <c r="S823" s="126">
        <v>4827.3</v>
      </c>
    </row>
    <row r="824" spans="1:19" ht="18.75">
      <c r="A824" s="59"/>
      <c r="B824" s="60"/>
      <c r="C824" s="65"/>
      <c r="D824" s="63"/>
      <c r="E824" s="66"/>
      <c r="F824" s="66"/>
      <c r="G824" s="67"/>
      <c r="H824" s="2" t="s">
        <v>839</v>
      </c>
      <c r="I824" s="9">
        <v>672</v>
      </c>
      <c r="J824" s="4">
        <v>7</v>
      </c>
      <c r="K824" s="11">
        <v>3</v>
      </c>
      <c r="L824" s="57" t="s">
        <v>232</v>
      </c>
      <c r="M824" s="58" t="s">
        <v>220</v>
      </c>
      <c r="N824" s="58" t="s">
        <v>223</v>
      </c>
      <c r="O824" s="58" t="s">
        <v>261</v>
      </c>
      <c r="P824" s="3"/>
      <c r="Q824" s="126">
        <f aca="true" t="shared" si="91" ref="Q824:S825">Q825</f>
        <v>1000</v>
      </c>
      <c r="R824" s="126">
        <f t="shared" si="91"/>
        <v>0</v>
      </c>
      <c r="S824" s="126">
        <f t="shared" si="91"/>
        <v>0</v>
      </c>
    </row>
    <row r="825" spans="1:19" ht="18.75">
      <c r="A825" s="59"/>
      <c r="B825" s="60"/>
      <c r="C825" s="65"/>
      <c r="D825" s="63"/>
      <c r="E825" s="66"/>
      <c r="F825" s="66"/>
      <c r="G825" s="67"/>
      <c r="H825" s="2" t="s">
        <v>57</v>
      </c>
      <c r="I825" s="9">
        <v>672</v>
      </c>
      <c r="J825" s="4">
        <v>7</v>
      </c>
      <c r="K825" s="11">
        <v>3</v>
      </c>
      <c r="L825" s="57" t="s">
        <v>232</v>
      </c>
      <c r="M825" s="58" t="s">
        <v>220</v>
      </c>
      <c r="N825" s="58" t="s">
        <v>223</v>
      </c>
      <c r="O825" s="58" t="s">
        <v>14</v>
      </c>
      <c r="P825" s="3"/>
      <c r="Q825" s="126">
        <f t="shared" si="91"/>
        <v>1000</v>
      </c>
      <c r="R825" s="126">
        <f t="shared" si="91"/>
        <v>0</v>
      </c>
      <c r="S825" s="126">
        <f t="shared" si="91"/>
        <v>0</v>
      </c>
    </row>
    <row r="826" spans="1:19" ht="18.75">
      <c r="A826" s="59"/>
      <c r="B826" s="60"/>
      <c r="C826" s="65"/>
      <c r="D826" s="63"/>
      <c r="E826" s="66"/>
      <c r="F826" s="66"/>
      <c r="G826" s="67"/>
      <c r="H826" s="2" t="s">
        <v>301</v>
      </c>
      <c r="I826" s="9">
        <v>672</v>
      </c>
      <c r="J826" s="4">
        <v>7</v>
      </c>
      <c r="K826" s="11">
        <v>3</v>
      </c>
      <c r="L826" s="57" t="s">
        <v>232</v>
      </c>
      <c r="M826" s="58" t="s">
        <v>220</v>
      </c>
      <c r="N826" s="58" t="s">
        <v>223</v>
      </c>
      <c r="O826" s="58" t="s">
        <v>14</v>
      </c>
      <c r="P826" s="3">
        <v>610</v>
      </c>
      <c r="Q826" s="126">
        <v>1000</v>
      </c>
      <c r="R826" s="126">
        <v>0</v>
      </c>
      <c r="S826" s="126">
        <v>0</v>
      </c>
    </row>
    <row r="827" spans="1:19" s="113" customFormat="1" ht="19.5">
      <c r="A827" s="89"/>
      <c r="B827" s="90"/>
      <c r="C827" s="100"/>
      <c r="D827" s="97"/>
      <c r="E827" s="92"/>
      <c r="F827" s="92"/>
      <c r="G827" s="102"/>
      <c r="H827" s="227" t="s">
        <v>208</v>
      </c>
      <c r="I827" s="251">
        <v>672</v>
      </c>
      <c r="J827" s="95">
        <v>7</v>
      </c>
      <c r="K827" s="86">
        <v>9</v>
      </c>
      <c r="L827" s="87"/>
      <c r="M827" s="88"/>
      <c r="N827" s="88"/>
      <c r="O827" s="88"/>
      <c r="P827" s="93"/>
      <c r="Q827" s="127">
        <f>Q828+Q845+Q893</f>
        <v>34654</v>
      </c>
      <c r="R827" s="127">
        <f>R828+R845+R893</f>
        <v>27888</v>
      </c>
      <c r="S827" s="127">
        <f>S828+S845+S893</f>
        <v>59187.00000000001</v>
      </c>
    </row>
    <row r="828" spans="1:19" ht="31.5">
      <c r="A828" s="59"/>
      <c r="B828" s="60"/>
      <c r="C828" s="65"/>
      <c r="D828" s="63"/>
      <c r="E828" s="66"/>
      <c r="F828" s="66"/>
      <c r="G828" s="67"/>
      <c r="H828" s="2" t="s">
        <v>583</v>
      </c>
      <c r="I828" s="9">
        <v>672</v>
      </c>
      <c r="J828" s="4">
        <v>7</v>
      </c>
      <c r="K828" s="11">
        <v>9</v>
      </c>
      <c r="L828" s="57" t="s">
        <v>221</v>
      </c>
      <c r="M828" s="58" t="s">
        <v>220</v>
      </c>
      <c r="N828" s="58" t="s">
        <v>229</v>
      </c>
      <c r="O828" s="58" t="s">
        <v>261</v>
      </c>
      <c r="P828" s="3"/>
      <c r="Q828" s="126">
        <f>Q829+Q832+Q835+Q838+Q841</f>
        <v>506.6</v>
      </c>
      <c r="R828" s="126">
        <f>R829+R832+R835+R838+R841</f>
        <v>694.8</v>
      </c>
      <c r="S828" s="126">
        <f>S829+S832+S835+S838+S841</f>
        <v>683.8</v>
      </c>
    </row>
    <row r="829" spans="1:19" ht="31.5">
      <c r="A829" s="59"/>
      <c r="B829" s="60"/>
      <c r="C829" s="65"/>
      <c r="D829" s="63"/>
      <c r="E829" s="66"/>
      <c r="F829" s="66"/>
      <c r="G829" s="67"/>
      <c r="H829" s="2" t="s">
        <v>168</v>
      </c>
      <c r="I829" s="9">
        <v>672</v>
      </c>
      <c r="J829" s="4">
        <v>7</v>
      </c>
      <c r="K829" s="11">
        <v>9</v>
      </c>
      <c r="L829" s="57" t="s">
        <v>221</v>
      </c>
      <c r="M829" s="58" t="s">
        <v>220</v>
      </c>
      <c r="N829" s="58" t="s">
        <v>221</v>
      </c>
      <c r="O829" s="58" t="s">
        <v>261</v>
      </c>
      <c r="P829" s="3"/>
      <c r="Q829" s="126">
        <f aca="true" t="shared" si="92" ref="Q829:S830">Q830</f>
        <v>15</v>
      </c>
      <c r="R829" s="126">
        <f t="shared" si="92"/>
        <v>15</v>
      </c>
      <c r="S829" s="126">
        <f t="shared" si="92"/>
        <v>15</v>
      </c>
    </row>
    <row r="830" spans="1:19" ht="18.75">
      <c r="A830" s="59"/>
      <c r="B830" s="60"/>
      <c r="C830" s="65"/>
      <c r="D830" s="63"/>
      <c r="E830" s="66"/>
      <c r="F830" s="66"/>
      <c r="G830" s="67"/>
      <c r="H830" s="2" t="s">
        <v>60</v>
      </c>
      <c r="I830" s="9">
        <v>672</v>
      </c>
      <c r="J830" s="4">
        <v>7</v>
      </c>
      <c r="K830" s="11">
        <v>9</v>
      </c>
      <c r="L830" s="57" t="s">
        <v>221</v>
      </c>
      <c r="M830" s="58" t="s">
        <v>220</v>
      </c>
      <c r="N830" s="58" t="s">
        <v>221</v>
      </c>
      <c r="O830" s="58" t="s">
        <v>264</v>
      </c>
      <c r="P830" s="3"/>
      <c r="Q830" s="126">
        <f t="shared" si="92"/>
        <v>15</v>
      </c>
      <c r="R830" s="126">
        <f t="shared" si="92"/>
        <v>15</v>
      </c>
      <c r="S830" s="126">
        <f t="shared" si="92"/>
        <v>15</v>
      </c>
    </row>
    <row r="831" spans="1:19" ht="18.75">
      <c r="A831" s="59"/>
      <c r="B831" s="60"/>
      <c r="C831" s="65"/>
      <c r="D831" s="63"/>
      <c r="E831" s="66"/>
      <c r="F831" s="66"/>
      <c r="G831" s="67"/>
      <c r="H831" s="2" t="s">
        <v>299</v>
      </c>
      <c r="I831" s="9">
        <v>672</v>
      </c>
      <c r="J831" s="4">
        <v>7</v>
      </c>
      <c r="K831" s="11">
        <v>9</v>
      </c>
      <c r="L831" s="57" t="s">
        <v>221</v>
      </c>
      <c r="M831" s="58" t="s">
        <v>220</v>
      </c>
      <c r="N831" s="58" t="s">
        <v>221</v>
      </c>
      <c r="O831" s="58" t="s">
        <v>264</v>
      </c>
      <c r="P831" s="3">
        <v>240</v>
      </c>
      <c r="Q831" s="126">
        <v>15</v>
      </c>
      <c r="R831" s="126">
        <v>15</v>
      </c>
      <c r="S831" s="126">
        <v>15</v>
      </c>
    </row>
    <row r="832" spans="1:19" ht="31.5">
      <c r="A832" s="59"/>
      <c r="B832" s="60"/>
      <c r="C832" s="65"/>
      <c r="D832" s="63"/>
      <c r="E832" s="66"/>
      <c r="F832" s="66"/>
      <c r="G832" s="67"/>
      <c r="H832" s="2" t="s">
        <v>50</v>
      </c>
      <c r="I832" s="9">
        <v>672</v>
      </c>
      <c r="J832" s="4">
        <v>7</v>
      </c>
      <c r="K832" s="11">
        <v>9</v>
      </c>
      <c r="L832" s="57" t="s">
        <v>221</v>
      </c>
      <c r="M832" s="58" t="s">
        <v>220</v>
      </c>
      <c r="N832" s="58" t="s">
        <v>236</v>
      </c>
      <c r="O832" s="58" t="s">
        <v>261</v>
      </c>
      <c r="P832" s="3"/>
      <c r="Q832" s="126">
        <f aca="true" t="shared" si="93" ref="Q832:S833">Q833</f>
        <v>7.900000000000006</v>
      </c>
      <c r="R832" s="126">
        <f t="shared" si="93"/>
        <v>133</v>
      </c>
      <c r="S832" s="126">
        <f t="shared" si="93"/>
        <v>133</v>
      </c>
    </row>
    <row r="833" spans="1:19" ht="18.75">
      <c r="A833" s="59"/>
      <c r="B833" s="60"/>
      <c r="C833" s="65"/>
      <c r="D833" s="63"/>
      <c r="E833" s="66"/>
      <c r="F833" s="66"/>
      <c r="G833" s="67"/>
      <c r="H833" s="2" t="s">
        <v>60</v>
      </c>
      <c r="I833" s="9">
        <v>672</v>
      </c>
      <c r="J833" s="4">
        <v>7</v>
      </c>
      <c r="K833" s="11">
        <v>9</v>
      </c>
      <c r="L833" s="57" t="s">
        <v>221</v>
      </c>
      <c r="M833" s="58" t="s">
        <v>220</v>
      </c>
      <c r="N833" s="58" t="s">
        <v>236</v>
      </c>
      <c r="O833" s="58" t="s">
        <v>264</v>
      </c>
      <c r="P833" s="3"/>
      <c r="Q833" s="126">
        <f t="shared" si="93"/>
        <v>7.900000000000006</v>
      </c>
      <c r="R833" s="126">
        <f t="shared" si="93"/>
        <v>133</v>
      </c>
      <c r="S833" s="126">
        <f t="shared" si="93"/>
        <v>133</v>
      </c>
    </row>
    <row r="834" spans="1:19" ht="18.75">
      <c r="A834" s="59"/>
      <c r="B834" s="60"/>
      <c r="C834" s="65"/>
      <c r="D834" s="63"/>
      <c r="E834" s="66"/>
      <c r="F834" s="66"/>
      <c r="G834" s="67"/>
      <c r="H834" s="2" t="s">
        <v>299</v>
      </c>
      <c r="I834" s="9">
        <v>672</v>
      </c>
      <c r="J834" s="4">
        <v>7</v>
      </c>
      <c r="K834" s="11">
        <v>9</v>
      </c>
      <c r="L834" s="57" t="s">
        <v>221</v>
      </c>
      <c r="M834" s="58" t="s">
        <v>220</v>
      </c>
      <c r="N834" s="58" t="s">
        <v>236</v>
      </c>
      <c r="O834" s="58" t="s">
        <v>264</v>
      </c>
      <c r="P834" s="3">
        <v>240</v>
      </c>
      <c r="Q834" s="126">
        <f>133-125.1</f>
        <v>7.900000000000006</v>
      </c>
      <c r="R834" s="126">
        <v>133</v>
      </c>
      <c r="S834" s="126">
        <v>133</v>
      </c>
    </row>
    <row r="835" spans="1:19" ht="31.5">
      <c r="A835" s="59"/>
      <c r="B835" s="60"/>
      <c r="C835" s="65"/>
      <c r="D835" s="63"/>
      <c r="E835" s="66"/>
      <c r="F835" s="66"/>
      <c r="G835" s="67"/>
      <c r="H835" s="2" t="s">
        <v>47</v>
      </c>
      <c r="I835" s="9">
        <v>672</v>
      </c>
      <c r="J835" s="4">
        <v>7</v>
      </c>
      <c r="K835" s="11">
        <v>9</v>
      </c>
      <c r="L835" s="57" t="s">
        <v>221</v>
      </c>
      <c r="M835" s="58" t="s">
        <v>220</v>
      </c>
      <c r="N835" s="58" t="s">
        <v>237</v>
      </c>
      <c r="O835" s="58" t="s">
        <v>261</v>
      </c>
      <c r="P835" s="3"/>
      <c r="Q835" s="126">
        <f aca="true" t="shared" si="94" ref="Q835:S836">Q836</f>
        <v>5</v>
      </c>
      <c r="R835" s="126">
        <f t="shared" si="94"/>
        <v>8</v>
      </c>
      <c r="S835" s="126">
        <f t="shared" si="94"/>
        <v>8</v>
      </c>
    </row>
    <row r="836" spans="1:19" ht="18.75">
      <c r="A836" s="59"/>
      <c r="B836" s="60"/>
      <c r="C836" s="65"/>
      <c r="D836" s="63"/>
      <c r="E836" s="66"/>
      <c r="F836" s="66"/>
      <c r="G836" s="67"/>
      <c r="H836" s="2" t="s">
        <v>60</v>
      </c>
      <c r="I836" s="9">
        <v>672</v>
      </c>
      <c r="J836" s="4">
        <v>7</v>
      </c>
      <c r="K836" s="11">
        <v>9</v>
      </c>
      <c r="L836" s="57" t="s">
        <v>221</v>
      </c>
      <c r="M836" s="58" t="s">
        <v>220</v>
      </c>
      <c r="N836" s="58" t="s">
        <v>237</v>
      </c>
      <c r="O836" s="58" t="s">
        <v>264</v>
      </c>
      <c r="P836" s="3"/>
      <c r="Q836" s="126">
        <f t="shared" si="94"/>
        <v>5</v>
      </c>
      <c r="R836" s="126">
        <f t="shared" si="94"/>
        <v>8</v>
      </c>
      <c r="S836" s="126">
        <f t="shared" si="94"/>
        <v>8</v>
      </c>
    </row>
    <row r="837" spans="1:19" ht="18.75">
      <c r="A837" s="59"/>
      <c r="B837" s="60"/>
      <c r="C837" s="65"/>
      <c r="D837" s="63"/>
      <c r="E837" s="66"/>
      <c r="F837" s="66"/>
      <c r="G837" s="67"/>
      <c r="H837" s="2" t="s">
        <v>299</v>
      </c>
      <c r="I837" s="9">
        <v>672</v>
      </c>
      <c r="J837" s="4">
        <v>7</v>
      </c>
      <c r="K837" s="11">
        <v>9</v>
      </c>
      <c r="L837" s="57" t="s">
        <v>221</v>
      </c>
      <c r="M837" s="58" t="s">
        <v>220</v>
      </c>
      <c r="N837" s="58" t="s">
        <v>237</v>
      </c>
      <c r="O837" s="58" t="s">
        <v>264</v>
      </c>
      <c r="P837" s="3">
        <v>240</v>
      </c>
      <c r="Q837" s="126">
        <f>4.7+3.3-3</f>
        <v>5</v>
      </c>
      <c r="R837" s="126">
        <f>4.7+3.3</f>
        <v>8</v>
      </c>
      <c r="S837" s="126">
        <f>4.7+3.3</f>
        <v>8</v>
      </c>
    </row>
    <row r="838" spans="1:19" ht="31.5">
      <c r="A838" s="59"/>
      <c r="B838" s="60"/>
      <c r="C838" s="65"/>
      <c r="D838" s="63"/>
      <c r="E838" s="66"/>
      <c r="F838" s="66"/>
      <c r="G838" s="67"/>
      <c r="H838" s="2" t="s">
        <v>289</v>
      </c>
      <c r="I838" s="9">
        <v>672</v>
      </c>
      <c r="J838" s="4">
        <v>7</v>
      </c>
      <c r="K838" s="11">
        <v>9</v>
      </c>
      <c r="L838" s="57" t="s">
        <v>221</v>
      </c>
      <c r="M838" s="58" t="s">
        <v>220</v>
      </c>
      <c r="N838" s="58" t="s">
        <v>232</v>
      </c>
      <c r="O838" s="58" t="s">
        <v>261</v>
      </c>
      <c r="P838" s="3"/>
      <c r="Q838" s="126">
        <f aca="true" t="shared" si="95" ref="Q838:S839">Q839</f>
        <v>168.3</v>
      </c>
      <c r="R838" s="126">
        <f t="shared" si="95"/>
        <v>138.79999999999998</v>
      </c>
      <c r="S838" s="126">
        <f t="shared" si="95"/>
        <v>127.8</v>
      </c>
    </row>
    <row r="839" spans="1:19" ht="18.75">
      <c r="A839" s="59"/>
      <c r="B839" s="60"/>
      <c r="C839" s="65"/>
      <c r="D839" s="63"/>
      <c r="E839" s="66"/>
      <c r="F839" s="66"/>
      <c r="G839" s="67"/>
      <c r="H839" s="2" t="s">
        <v>60</v>
      </c>
      <c r="I839" s="9">
        <v>672</v>
      </c>
      <c r="J839" s="4">
        <v>7</v>
      </c>
      <c r="K839" s="11">
        <v>9</v>
      </c>
      <c r="L839" s="57" t="s">
        <v>221</v>
      </c>
      <c r="M839" s="58" t="s">
        <v>220</v>
      </c>
      <c r="N839" s="58" t="s">
        <v>232</v>
      </c>
      <c r="O839" s="58" t="s">
        <v>264</v>
      </c>
      <c r="P839" s="3"/>
      <c r="Q839" s="126">
        <f t="shared" si="95"/>
        <v>168.3</v>
      </c>
      <c r="R839" s="126">
        <f t="shared" si="95"/>
        <v>138.79999999999998</v>
      </c>
      <c r="S839" s="126">
        <f t="shared" si="95"/>
        <v>127.8</v>
      </c>
    </row>
    <row r="840" spans="1:19" ht="18.75">
      <c r="A840" s="59"/>
      <c r="B840" s="60"/>
      <c r="C840" s="65"/>
      <c r="D840" s="63"/>
      <c r="E840" s="66"/>
      <c r="F840" s="66"/>
      <c r="G840" s="67"/>
      <c r="H840" s="2" t="s">
        <v>299</v>
      </c>
      <c r="I840" s="9">
        <v>672</v>
      </c>
      <c r="J840" s="4">
        <v>7</v>
      </c>
      <c r="K840" s="11">
        <v>9</v>
      </c>
      <c r="L840" s="57" t="s">
        <v>221</v>
      </c>
      <c r="M840" s="58" t="s">
        <v>220</v>
      </c>
      <c r="N840" s="58" t="s">
        <v>232</v>
      </c>
      <c r="O840" s="58" t="s">
        <v>264</v>
      </c>
      <c r="P840" s="3">
        <v>240</v>
      </c>
      <c r="Q840" s="126">
        <f>111.1+27.8+95.8-1.1-65.3</f>
        <v>168.3</v>
      </c>
      <c r="R840" s="126">
        <f>111.1+27.7</f>
        <v>138.79999999999998</v>
      </c>
      <c r="S840" s="126">
        <f>100+27.8</f>
        <v>127.8</v>
      </c>
    </row>
    <row r="841" spans="1:19" ht="31.5">
      <c r="A841" s="59"/>
      <c r="B841" s="60"/>
      <c r="C841" s="65"/>
      <c r="D841" s="63"/>
      <c r="E841" s="66"/>
      <c r="F841" s="66"/>
      <c r="G841" s="67"/>
      <c r="H841" s="2" t="s">
        <v>2</v>
      </c>
      <c r="I841" s="9">
        <v>672</v>
      </c>
      <c r="J841" s="4">
        <v>7</v>
      </c>
      <c r="K841" s="11">
        <v>9</v>
      </c>
      <c r="L841" s="57" t="s">
        <v>221</v>
      </c>
      <c r="M841" s="58" t="s">
        <v>220</v>
      </c>
      <c r="N841" s="58" t="s">
        <v>223</v>
      </c>
      <c r="O841" s="58" t="s">
        <v>261</v>
      </c>
      <c r="P841" s="3"/>
      <c r="Q841" s="126">
        <f>Q842</f>
        <v>310.4</v>
      </c>
      <c r="R841" s="126">
        <f>R842</f>
        <v>400</v>
      </c>
      <c r="S841" s="126">
        <f>S842</f>
        <v>400</v>
      </c>
    </row>
    <row r="842" spans="1:19" ht="18.75">
      <c r="A842" s="59"/>
      <c r="B842" s="60"/>
      <c r="C842" s="65"/>
      <c r="D842" s="63"/>
      <c r="E842" s="66"/>
      <c r="F842" s="66"/>
      <c r="G842" s="67"/>
      <c r="H842" s="2" t="s">
        <v>60</v>
      </c>
      <c r="I842" s="9">
        <v>672</v>
      </c>
      <c r="J842" s="4">
        <v>7</v>
      </c>
      <c r="K842" s="11">
        <v>9</v>
      </c>
      <c r="L842" s="57" t="s">
        <v>221</v>
      </c>
      <c r="M842" s="58" t="s">
        <v>220</v>
      </c>
      <c r="N842" s="58" t="s">
        <v>223</v>
      </c>
      <c r="O842" s="58" t="s">
        <v>264</v>
      </c>
      <c r="P842" s="3"/>
      <c r="Q842" s="126">
        <f>Q843+Q844</f>
        <v>310.4</v>
      </c>
      <c r="R842" s="126">
        <f>R843+R844</f>
        <v>400</v>
      </c>
      <c r="S842" s="126">
        <f>S843+S844</f>
        <v>400</v>
      </c>
    </row>
    <row r="843" spans="1:19" ht="18.75">
      <c r="A843" s="59"/>
      <c r="B843" s="60"/>
      <c r="C843" s="65"/>
      <c r="D843" s="63"/>
      <c r="E843" s="66"/>
      <c r="F843" s="66"/>
      <c r="G843" s="67"/>
      <c r="H843" s="2" t="s">
        <v>299</v>
      </c>
      <c r="I843" s="9">
        <v>672</v>
      </c>
      <c r="J843" s="4">
        <v>7</v>
      </c>
      <c r="K843" s="11">
        <v>9</v>
      </c>
      <c r="L843" s="57" t="s">
        <v>221</v>
      </c>
      <c r="M843" s="58" t="s">
        <v>220</v>
      </c>
      <c r="N843" s="58" t="s">
        <v>223</v>
      </c>
      <c r="O843" s="58" t="s">
        <v>264</v>
      </c>
      <c r="P843" s="3">
        <v>240</v>
      </c>
      <c r="Q843" s="126">
        <f>284.7+115.3-27-62.6</f>
        <v>310.4</v>
      </c>
      <c r="R843" s="126">
        <f>284.7+115.3</f>
        <v>400</v>
      </c>
      <c r="S843" s="126">
        <f>284.7+115.3</f>
        <v>400</v>
      </c>
    </row>
    <row r="844" spans="1:19" ht="18.75" hidden="1">
      <c r="A844" s="59"/>
      <c r="B844" s="60"/>
      <c r="C844" s="65"/>
      <c r="D844" s="63"/>
      <c r="E844" s="66"/>
      <c r="F844" s="66"/>
      <c r="G844" s="67"/>
      <c r="H844" s="2" t="s">
        <v>304</v>
      </c>
      <c r="I844" s="9">
        <v>672</v>
      </c>
      <c r="J844" s="4">
        <v>7</v>
      </c>
      <c r="K844" s="11">
        <v>9</v>
      </c>
      <c r="L844" s="57" t="s">
        <v>221</v>
      </c>
      <c r="M844" s="58" t="s">
        <v>220</v>
      </c>
      <c r="N844" s="58" t="s">
        <v>223</v>
      </c>
      <c r="O844" s="58" t="s">
        <v>264</v>
      </c>
      <c r="P844" s="3">
        <v>320</v>
      </c>
      <c r="Q844" s="126"/>
      <c r="R844" s="126"/>
      <c r="S844" s="126"/>
    </row>
    <row r="845" spans="1:19" ht="31.5">
      <c r="A845" s="59"/>
      <c r="B845" s="60"/>
      <c r="C845" s="65"/>
      <c r="D845" s="63"/>
      <c r="E845" s="66"/>
      <c r="F845" s="66"/>
      <c r="G845" s="67"/>
      <c r="H845" s="2" t="s">
        <v>581</v>
      </c>
      <c r="I845" s="9">
        <v>672</v>
      </c>
      <c r="J845" s="4">
        <v>7</v>
      </c>
      <c r="K845" s="11">
        <v>9</v>
      </c>
      <c r="L845" s="57" t="s">
        <v>232</v>
      </c>
      <c r="M845" s="58" t="s">
        <v>220</v>
      </c>
      <c r="N845" s="58" t="s">
        <v>229</v>
      </c>
      <c r="O845" s="58" t="s">
        <v>261</v>
      </c>
      <c r="P845" s="3"/>
      <c r="Q845" s="126">
        <f>Q846+Q851+Q864+Q868+Q880+Q887+Q890+Q871</f>
        <v>34017.4</v>
      </c>
      <c r="R845" s="126">
        <f>R846+R851+R864+R868+R880+R887+R890+R871</f>
        <v>27063.2</v>
      </c>
      <c r="S845" s="126">
        <f>S846+S851+S864+S868+S880+S887+S890+S871</f>
        <v>58373.200000000004</v>
      </c>
    </row>
    <row r="846" spans="1:19" ht="18.75">
      <c r="A846" s="59"/>
      <c r="B846" s="60"/>
      <c r="C846" s="65"/>
      <c r="D846" s="63"/>
      <c r="E846" s="66"/>
      <c r="F846" s="66"/>
      <c r="G846" s="67"/>
      <c r="H846" s="2" t="s">
        <v>270</v>
      </c>
      <c r="I846" s="5">
        <v>672</v>
      </c>
      <c r="J846" s="4">
        <v>7</v>
      </c>
      <c r="K846" s="11">
        <v>9</v>
      </c>
      <c r="L846" s="57" t="s">
        <v>232</v>
      </c>
      <c r="M846" s="58" t="s">
        <v>220</v>
      </c>
      <c r="N846" s="58" t="s">
        <v>221</v>
      </c>
      <c r="O846" s="58" t="s">
        <v>261</v>
      </c>
      <c r="P846" s="3"/>
      <c r="Q846" s="126">
        <f>Q847+Q849</f>
        <v>619.6999999999999</v>
      </c>
      <c r="R846" s="126">
        <f>R847+R849</f>
        <v>485.7</v>
      </c>
      <c r="S846" s="126">
        <f>S847+S849</f>
        <v>485.7</v>
      </c>
    </row>
    <row r="847" spans="1:19" ht="18.75">
      <c r="A847" s="59"/>
      <c r="B847" s="60"/>
      <c r="C847" s="65"/>
      <c r="D847" s="63"/>
      <c r="E847" s="66"/>
      <c r="F847" s="66"/>
      <c r="G847" s="67"/>
      <c r="H847" s="2" t="s">
        <v>60</v>
      </c>
      <c r="I847" s="5">
        <v>672</v>
      </c>
      <c r="J847" s="4">
        <v>7</v>
      </c>
      <c r="K847" s="11">
        <v>9</v>
      </c>
      <c r="L847" s="57" t="s">
        <v>232</v>
      </c>
      <c r="M847" s="58" t="s">
        <v>220</v>
      </c>
      <c r="N847" s="58" t="s">
        <v>221</v>
      </c>
      <c r="O847" s="58" t="s">
        <v>264</v>
      </c>
      <c r="P847" s="3"/>
      <c r="Q847" s="126">
        <f>Q848</f>
        <v>153.99999999999997</v>
      </c>
      <c r="R847" s="126">
        <f>R848</f>
        <v>20</v>
      </c>
      <c r="S847" s="126">
        <f>S848</f>
        <v>20</v>
      </c>
    </row>
    <row r="848" spans="1:19" ht="18.75">
      <c r="A848" s="59"/>
      <c r="B848" s="60"/>
      <c r="C848" s="65"/>
      <c r="D848" s="63"/>
      <c r="E848" s="66"/>
      <c r="F848" s="66"/>
      <c r="G848" s="67"/>
      <c r="H848" s="2" t="s">
        <v>299</v>
      </c>
      <c r="I848" s="9">
        <v>672</v>
      </c>
      <c r="J848" s="4">
        <v>7</v>
      </c>
      <c r="K848" s="11">
        <v>9</v>
      </c>
      <c r="L848" s="57" t="s">
        <v>232</v>
      </c>
      <c r="M848" s="58" t="s">
        <v>220</v>
      </c>
      <c r="N848" s="58" t="s">
        <v>221</v>
      </c>
      <c r="O848" s="58" t="s">
        <v>264</v>
      </c>
      <c r="P848" s="3">
        <v>240</v>
      </c>
      <c r="Q848" s="126">
        <f>20+526.8-3-66.7-61.2-123.3-73.7-64.9</f>
        <v>153.99999999999997</v>
      </c>
      <c r="R848" s="126">
        <v>20</v>
      </c>
      <c r="S848" s="126">
        <v>20</v>
      </c>
    </row>
    <row r="849" spans="1:19" ht="18.75">
      <c r="A849" s="59"/>
      <c r="B849" s="60"/>
      <c r="C849" s="65"/>
      <c r="D849" s="63"/>
      <c r="E849" s="66"/>
      <c r="F849" s="66"/>
      <c r="G849" s="67"/>
      <c r="H849" s="2" t="s">
        <v>477</v>
      </c>
      <c r="I849" s="5">
        <v>672</v>
      </c>
      <c r="J849" s="4">
        <v>7</v>
      </c>
      <c r="K849" s="11">
        <v>9</v>
      </c>
      <c r="L849" s="57" t="s">
        <v>232</v>
      </c>
      <c r="M849" s="58" t="s">
        <v>220</v>
      </c>
      <c r="N849" s="58" t="s">
        <v>221</v>
      </c>
      <c r="O849" s="58" t="s">
        <v>476</v>
      </c>
      <c r="P849" s="3"/>
      <c r="Q849" s="126">
        <f>Q850</f>
        <v>465.7</v>
      </c>
      <c r="R849" s="126">
        <f>R850</f>
        <v>465.7</v>
      </c>
      <c r="S849" s="126">
        <f>S850</f>
        <v>465.7</v>
      </c>
    </row>
    <row r="850" spans="1:19" ht="18.75">
      <c r="A850" s="59"/>
      <c r="B850" s="60"/>
      <c r="C850" s="65"/>
      <c r="D850" s="63"/>
      <c r="E850" s="66"/>
      <c r="F850" s="66"/>
      <c r="G850" s="67"/>
      <c r="H850" s="2" t="s">
        <v>301</v>
      </c>
      <c r="I850" s="9">
        <v>672</v>
      </c>
      <c r="J850" s="4">
        <v>7</v>
      </c>
      <c r="K850" s="11">
        <v>9</v>
      </c>
      <c r="L850" s="57" t="s">
        <v>232</v>
      </c>
      <c r="M850" s="58" t="s">
        <v>220</v>
      </c>
      <c r="N850" s="58" t="s">
        <v>221</v>
      </c>
      <c r="O850" s="58" t="s">
        <v>476</v>
      </c>
      <c r="P850" s="3">
        <v>610</v>
      </c>
      <c r="Q850" s="126">
        <v>465.7</v>
      </c>
      <c r="R850" s="126">
        <v>465.7</v>
      </c>
      <c r="S850" s="126">
        <v>465.7</v>
      </c>
    </row>
    <row r="851" spans="1:19" ht="18.75">
      <c r="A851" s="59"/>
      <c r="B851" s="60"/>
      <c r="C851" s="65"/>
      <c r="D851" s="63"/>
      <c r="E851" s="66"/>
      <c r="F851" s="66"/>
      <c r="G851" s="67"/>
      <c r="H851" s="2" t="s">
        <v>271</v>
      </c>
      <c r="I851" s="9">
        <v>672</v>
      </c>
      <c r="J851" s="4">
        <v>7</v>
      </c>
      <c r="K851" s="11">
        <v>9</v>
      </c>
      <c r="L851" s="57" t="s">
        <v>232</v>
      </c>
      <c r="M851" s="58" t="s">
        <v>220</v>
      </c>
      <c r="N851" s="58" t="s">
        <v>236</v>
      </c>
      <c r="O851" s="58" t="s">
        <v>261</v>
      </c>
      <c r="P851" s="3"/>
      <c r="Q851" s="126">
        <f>Q852+Q856+Q862+Q860+Q854</f>
        <v>15080.6</v>
      </c>
      <c r="R851" s="126">
        <f>R852+R856+R862+R860+R854</f>
        <v>14106.1</v>
      </c>
      <c r="S851" s="126">
        <f>S852+S856+S862+S860+S854</f>
        <v>14095.6</v>
      </c>
    </row>
    <row r="852" spans="1:19" ht="18.75">
      <c r="A852" s="59"/>
      <c r="B852" s="60"/>
      <c r="C852" s="65"/>
      <c r="D852" s="63"/>
      <c r="E852" s="66"/>
      <c r="F852" s="66"/>
      <c r="G852" s="67"/>
      <c r="H852" s="2" t="s">
        <v>60</v>
      </c>
      <c r="I852" s="9">
        <v>672</v>
      </c>
      <c r="J852" s="4">
        <v>7</v>
      </c>
      <c r="K852" s="11">
        <v>9</v>
      </c>
      <c r="L852" s="57" t="s">
        <v>232</v>
      </c>
      <c r="M852" s="58" t="s">
        <v>220</v>
      </c>
      <c r="N852" s="58" t="s">
        <v>236</v>
      </c>
      <c r="O852" s="58" t="s">
        <v>264</v>
      </c>
      <c r="P852" s="3"/>
      <c r="Q852" s="126">
        <f>Q853</f>
        <v>190.2</v>
      </c>
      <c r="R852" s="126">
        <f>R853</f>
        <v>120.5</v>
      </c>
      <c r="S852" s="126">
        <f>S853</f>
        <v>110</v>
      </c>
    </row>
    <row r="853" spans="1:19" ht="18.75">
      <c r="A853" s="59"/>
      <c r="B853" s="60"/>
      <c r="C853" s="65"/>
      <c r="D853" s="63"/>
      <c r="E853" s="66"/>
      <c r="F853" s="66"/>
      <c r="G853" s="67"/>
      <c r="H853" s="2" t="s">
        <v>299</v>
      </c>
      <c r="I853" s="9">
        <v>672</v>
      </c>
      <c r="J853" s="4">
        <v>7</v>
      </c>
      <c r="K853" s="11">
        <v>9</v>
      </c>
      <c r="L853" s="57" t="s">
        <v>232</v>
      </c>
      <c r="M853" s="58" t="s">
        <v>220</v>
      </c>
      <c r="N853" s="58" t="s">
        <v>236</v>
      </c>
      <c r="O853" s="58" t="s">
        <v>264</v>
      </c>
      <c r="P853" s="3">
        <v>240</v>
      </c>
      <c r="Q853" s="126">
        <f>57+246.9-12.2-18.7-6-14.5-19-14-17.4-9.8-2.1</f>
        <v>190.2</v>
      </c>
      <c r="R853" s="126">
        <f>57+63.5</f>
        <v>120.5</v>
      </c>
      <c r="S853" s="126">
        <f>50+60</f>
        <v>110</v>
      </c>
    </row>
    <row r="854" spans="1:19" ht="31.5">
      <c r="A854" s="59"/>
      <c r="B854" s="60"/>
      <c r="C854" s="65"/>
      <c r="D854" s="63"/>
      <c r="E854" s="66"/>
      <c r="F854" s="66"/>
      <c r="G854" s="67"/>
      <c r="H854" s="2" t="s">
        <v>55</v>
      </c>
      <c r="I854" s="9">
        <v>672</v>
      </c>
      <c r="J854" s="4">
        <v>7</v>
      </c>
      <c r="K854" s="11">
        <v>9</v>
      </c>
      <c r="L854" s="57" t="s">
        <v>232</v>
      </c>
      <c r="M854" s="58" t="s">
        <v>220</v>
      </c>
      <c r="N854" s="58" t="s">
        <v>236</v>
      </c>
      <c r="O854" s="58" t="s">
        <v>54</v>
      </c>
      <c r="P854" s="3"/>
      <c r="Q854" s="126">
        <f>Q855</f>
        <v>3209.7999999999997</v>
      </c>
      <c r="R854" s="126">
        <f>R855</f>
        <v>2305</v>
      </c>
      <c r="S854" s="126">
        <f>S855</f>
        <v>2305</v>
      </c>
    </row>
    <row r="855" spans="1:19" ht="18.75">
      <c r="A855" s="59"/>
      <c r="B855" s="60"/>
      <c r="C855" s="65"/>
      <c r="D855" s="63"/>
      <c r="E855" s="66"/>
      <c r="F855" s="66"/>
      <c r="G855" s="67"/>
      <c r="H855" s="2" t="s">
        <v>299</v>
      </c>
      <c r="I855" s="9">
        <v>672</v>
      </c>
      <c r="J855" s="4">
        <v>7</v>
      </c>
      <c r="K855" s="11">
        <v>9</v>
      </c>
      <c r="L855" s="57" t="s">
        <v>232</v>
      </c>
      <c r="M855" s="58" t="s">
        <v>220</v>
      </c>
      <c r="N855" s="58" t="s">
        <v>236</v>
      </c>
      <c r="O855" s="58" t="s">
        <v>54</v>
      </c>
      <c r="P855" s="3">
        <v>240</v>
      </c>
      <c r="Q855" s="126">
        <f>3603.7-2097+1703.1</f>
        <v>3209.7999999999997</v>
      </c>
      <c r="R855" s="126">
        <v>2305</v>
      </c>
      <c r="S855" s="126">
        <v>2305</v>
      </c>
    </row>
    <row r="856" spans="1:19" ht="47.25">
      <c r="A856" s="59"/>
      <c r="B856" s="60"/>
      <c r="C856" s="65"/>
      <c r="D856" s="63"/>
      <c r="E856" s="66"/>
      <c r="F856" s="66"/>
      <c r="G856" s="67"/>
      <c r="H856" s="2" t="s">
        <v>52</v>
      </c>
      <c r="I856" s="9">
        <v>672</v>
      </c>
      <c r="J856" s="4">
        <v>7</v>
      </c>
      <c r="K856" s="11">
        <v>9</v>
      </c>
      <c r="L856" s="57" t="s">
        <v>232</v>
      </c>
      <c r="M856" s="58" t="s">
        <v>220</v>
      </c>
      <c r="N856" s="58" t="s">
        <v>236</v>
      </c>
      <c r="O856" s="58" t="s">
        <v>51</v>
      </c>
      <c r="P856" s="3"/>
      <c r="Q856" s="126">
        <f>Q857+Q858+Q859</f>
        <v>8426.3</v>
      </c>
      <c r="R856" s="126">
        <f>R857+R858+R859</f>
        <v>8426.3</v>
      </c>
      <c r="S856" s="126">
        <f>S857+S858+S859</f>
        <v>8426.3</v>
      </c>
    </row>
    <row r="857" spans="1:19" ht="18.75">
      <c r="A857" s="59"/>
      <c r="B857" s="60"/>
      <c r="C857" s="65"/>
      <c r="D857" s="63"/>
      <c r="E857" s="66"/>
      <c r="F857" s="66"/>
      <c r="G857" s="67"/>
      <c r="H857" s="2" t="s">
        <v>299</v>
      </c>
      <c r="I857" s="9">
        <v>672</v>
      </c>
      <c r="J857" s="4">
        <v>7</v>
      </c>
      <c r="K857" s="11">
        <v>9</v>
      </c>
      <c r="L857" s="57" t="s">
        <v>232</v>
      </c>
      <c r="M857" s="58" t="s">
        <v>220</v>
      </c>
      <c r="N857" s="58" t="s">
        <v>236</v>
      </c>
      <c r="O857" s="58" t="s">
        <v>51</v>
      </c>
      <c r="P857" s="3">
        <v>240</v>
      </c>
      <c r="Q857" s="126">
        <v>29.3</v>
      </c>
      <c r="R857" s="126">
        <v>29.3</v>
      </c>
      <c r="S857" s="126">
        <v>29.3</v>
      </c>
    </row>
    <row r="858" spans="1:19" ht="18.75">
      <c r="A858" s="59"/>
      <c r="B858" s="60"/>
      <c r="C858" s="65"/>
      <c r="D858" s="63"/>
      <c r="E858" s="66"/>
      <c r="F858" s="66"/>
      <c r="G858" s="67"/>
      <c r="H858" s="2" t="s">
        <v>304</v>
      </c>
      <c r="I858" s="9">
        <v>672</v>
      </c>
      <c r="J858" s="4">
        <v>7</v>
      </c>
      <c r="K858" s="11">
        <v>9</v>
      </c>
      <c r="L858" s="57" t="s">
        <v>232</v>
      </c>
      <c r="M858" s="58" t="s">
        <v>220</v>
      </c>
      <c r="N858" s="58" t="s">
        <v>236</v>
      </c>
      <c r="O858" s="58" t="s">
        <v>51</v>
      </c>
      <c r="P858" s="3">
        <v>320</v>
      </c>
      <c r="Q858" s="126">
        <v>2276.2</v>
      </c>
      <c r="R858" s="126">
        <v>2276.2</v>
      </c>
      <c r="S858" s="126">
        <v>2276.2</v>
      </c>
    </row>
    <row r="859" spans="1:19" ht="18.75">
      <c r="A859" s="59"/>
      <c r="B859" s="60"/>
      <c r="C859" s="65"/>
      <c r="D859" s="63"/>
      <c r="E859" s="66"/>
      <c r="F859" s="66"/>
      <c r="G859" s="67"/>
      <c r="H859" s="2" t="s">
        <v>301</v>
      </c>
      <c r="I859" s="9">
        <v>672</v>
      </c>
      <c r="J859" s="4">
        <v>7</v>
      </c>
      <c r="K859" s="11">
        <v>9</v>
      </c>
      <c r="L859" s="57" t="s">
        <v>232</v>
      </c>
      <c r="M859" s="58" t="s">
        <v>220</v>
      </c>
      <c r="N859" s="58" t="s">
        <v>236</v>
      </c>
      <c r="O859" s="58" t="s">
        <v>51</v>
      </c>
      <c r="P859" s="3">
        <v>610</v>
      </c>
      <c r="Q859" s="126">
        <v>6120.8</v>
      </c>
      <c r="R859" s="126">
        <v>6120.8</v>
      </c>
      <c r="S859" s="126">
        <v>6120.8</v>
      </c>
    </row>
    <row r="860" spans="1:19" ht="31.5">
      <c r="A860" s="59"/>
      <c r="B860" s="60"/>
      <c r="C860" s="65"/>
      <c r="D860" s="63"/>
      <c r="E860" s="66"/>
      <c r="F860" s="66"/>
      <c r="G860" s="67"/>
      <c r="H860" s="2" t="s">
        <v>468</v>
      </c>
      <c r="I860" s="9">
        <v>672</v>
      </c>
      <c r="J860" s="4">
        <v>7</v>
      </c>
      <c r="K860" s="11">
        <v>9</v>
      </c>
      <c r="L860" s="57" t="s">
        <v>232</v>
      </c>
      <c r="M860" s="58" t="s">
        <v>220</v>
      </c>
      <c r="N860" s="58" t="s">
        <v>236</v>
      </c>
      <c r="O860" s="58" t="s">
        <v>842</v>
      </c>
      <c r="P860" s="3"/>
      <c r="Q860" s="126">
        <f>Q861</f>
        <v>989.2</v>
      </c>
      <c r="R860" s="126">
        <f>R861</f>
        <v>989.2</v>
      </c>
      <c r="S860" s="126">
        <f>S861</f>
        <v>989.2</v>
      </c>
    </row>
    <row r="861" spans="1:19" ht="18.75">
      <c r="A861" s="59"/>
      <c r="B861" s="60"/>
      <c r="C861" s="65"/>
      <c r="D861" s="63"/>
      <c r="E861" s="66"/>
      <c r="F861" s="66"/>
      <c r="G861" s="67"/>
      <c r="H861" s="2" t="s">
        <v>299</v>
      </c>
      <c r="I861" s="9">
        <v>672</v>
      </c>
      <c r="J861" s="4">
        <v>7</v>
      </c>
      <c r="K861" s="11">
        <v>9</v>
      </c>
      <c r="L861" s="57" t="s">
        <v>232</v>
      </c>
      <c r="M861" s="58" t="s">
        <v>220</v>
      </c>
      <c r="N861" s="58" t="s">
        <v>236</v>
      </c>
      <c r="O861" s="58" t="s">
        <v>842</v>
      </c>
      <c r="P861" s="3">
        <v>240</v>
      </c>
      <c r="Q861" s="126">
        <v>989.2</v>
      </c>
      <c r="R861" s="126">
        <v>989.2</v>
      </c>
      <c r="S861" s="126">
        <v>989.2</v>
      </c>
    </row>
    <row r="862" spans="1:19" ht="18.75">
      <c r="A862" s="59"/>
      <c r="B862" s="60"/>
      <c r="C862" s="65"/>
      <c r="D862" s="63"/>
      <c r="E862" s="66"/>
      <c r="F862" s="66"/>
      <c r="G862" s="67"/>
      <c r="H862" s="2" t="s">
        <v>477</v>
      </c>
      <c r="I862" s="9">
        <v>672</v>
      </c>
      <c r="J862" s="4">
        <v>7</v>
      </c>
      <c r="K862" s="11">
        <v>9</v>
      </c>
      <c r="L862" s="57" t="s">
        <v>232</v>
      </c>
      <c r="M862" s="58" t="s">
        <v>220</v>
      </c>
      <c r="N862" s="58" t="s">
        <v>236</v>
      </c>
      <c r="O862" s="58" t="s">
        <v>476</v>
      </c>
      <c r="P862" s="3"/>
      <c r="Q862" s="126">
        <f>Q863</f>
        <v>2265.1</v>
      </c>
      <c r="R862" s="126">
        <f>R863</f>
        <v>2265.1</v>
      </c>
      <c r="S862" s="126">
        <f>S863</f>
        <v>2265.1</v>
      </c>
    </row>
    <row r="863" spans="1:19" ht="18.75">
      <c r="A863" s="59"/>
      <c r="B863" s="60"/>
      <c r="C863" s="65"/>
      <c r="D863" s="63"/>
      <c r="E863" s="66"/>
      <c r="F863" s="66"/>
      <c r="G863" s="67"/>
      <c r="H863" s="2" t="s">
        <v>301</v>
      </c>
      <c r="I863" s="9">
        <v>672</v>
      </c>
      <c r="J863" s="4">
        <v>7</v>
      </c>
      <c r="K863" s="11">
        <v>9</v>
      </c>
      <c r="L863" s="57" t="s">
        <v>232</v>
      </c>
      <c r="M863" s="58" t="s">
        <v>220</v>
      </c>
      <c r="N863" s="58" t="s">
        <v>236</v>
      </c>
      <c r="O863" s="58" t="s">
        <v>476</v>
      </c>
      <c r="P863" s="3">
        <v>610</v>
      </c>
      <c r="Q863" s="126">
        <v>2265.1</v>
      </c>
      <c r="R863" s="126">
        <v>2265.1</v>
      </c>
      <c r="S863" s="126">
        <v>2265.1</v>
      </c>
    </row>
    <row r="864" spans="1:19" ht="18.75">
      <c r="A864" s="59"/>
      <c r="B864" s="60"/>
      <c r="C864" s="65"/>
      <c r="D864" s="63"/>
      <c r="E864" s="66"/>
      <c r="F864" s="66"/>
      <c r="G864" s="67"/>
      <c r="H864" s="2" t="s">
        <v>582</v>
      </c>
      <c r="I864" s="9">
        <v>672</v>
      </c>
      <c r="J864" s="4">
        <v>7</v>
      </c>
      <c r="K864" s="11">
        <v>9</v>
      </c>
      <c r="L864" s="57" t="s">
        <v>232</v>
      </c>
      <c r="M864" s="58" t="s">
        <v>220</v>
      </c>
      <c r="N864" s="58" t="s">
        <v>237</v>
      </c>
      <c r="O864" s="58" t="s">
        <v>261</v>
      </c>
      <c r="P864" s="3"/>
      <c r="Q864" s="126">
        <f>Q865</f>
        <v>1145.0000000000005</v>
      </c>
      <c r="R864" s="126">
        <f>R865</f>
        <v>4446</v>
      </c>
      <c r="S864" s="126">
        <f>S865</f>
        <v>4436</v>
      </c>
    </row>
    <row r="865" spans="1:19" ht="18.75">
      <c r="A865" s="59"/>
      <c r="B865" s="60"/>
      <c r="C865" s="65"/>
      <c r="D865" s="63"/>
      <c r="E865" s="66"/>
      <c r="F865" s="66"/>
      <c r="G865" s="67"/>
      <c r="H865" s="2" t="s">
        <v>60</v>
      </c>
      <c r="I865" s="9">
        <v>672</v>
      </c>
      <c r="J865" s="4">
        <v>7</v>
      </c>
      <c r="K865" s="11">
        <v>9</v>
      </c>
      <c r="L865" s="57" t="s">
        <v>232</v>
      </c>
      <c r="M865" s="58" t="s">
        <v>220</v>
      </c>
      <c r="N865" s="58" t="s">
        <v>237</v>
      </c>
      <c r="O865" s="58" t="s">
        <v>264</v>
      </c>
      <c r="P865" s="3"/>
      <c r="Q865" s="126">
        <f>Q866+Q867</f>
        <v>1145.0000000000005</v>
      </c>
      <c r="R865" s="126">
        <f>R866+R867</f>
        <v>4446</v>
      </c>
      <c r="S865" s="126">
        <f>S866+S867</f>
        <v>4436</v>
      </c>
    </row>
    <row r="866" spans="1:19" ht="18.75">
      <c r="A866" s="59"/>
      <c r="B866" s="60"/>
      <c r="C866" s="65"/>
      <c r="D866" s="63"/>
      <c r="E866" s="66"/>
      <c r="F866" s="66"/>
      <c r="G866" s="67"/>
      <c r="H866" s="2" t="s">
        <v>299</v>
      </c>
      <c r="I866" s="9">
        <v>672</v>
      </c>
      <c r="J866" s="4">
        <v>7</v>
      </c>
      <c r="K866" s="11">
        <v>9</v>
      </c>
      <c r="L866" s="57" t="s">
        <v>232</v>
      </c>
      <c r="M866" s="58" t="s">
        <v>220</v>
      </c>
      <c r="N866" s="58" t="s">
        <v>237</v>
      </c>
      <c r="O866" s="58" t="s">
        <v>264</v>
      </c>
      <c r="P866" s="3">
        <v>240</v>
      </c>
      <c r="Q866" s="126">
        <f>178+122-32.2-2.2-9</f>
        <v>256.6</v>
      </c>
      <c r="R866" s="126">
        <f>178+122</f>
        <v>300</v>
      </c>
      <c r="S866" s="126">
        <f>170+120</f>
        <v>290</v>
      </c>
    </row>
    <row r="867" spans="1:19" ht="31.5">
      <c r="A867" s="59"/>
      <c r="B867" s="60"/>
      <c r="C867" s="65"/>
      <c r="D867" s="63"/>
      <c r="E867" s="66"/>
      <c r="F867" s="66"/>
      <c r="G867" s="67"/>
      <c r="H867" s="2" t="s">
        <v>449</v>
      </c>
      <c r="I867" s="9">
        <v>672</v>
      </c>
      <c r="J867" s="4">
        <v>7</v>
      </c>
      <c r="K867" s="11">
        <v>9</v>
      </c>
      <c r="L867" s="57" t="s">
        <v>232</v>
      </c>
      <c r="M867" s="58" t="s">
        <v>220</v>
      </c>
      <c r="N867" s="58" t="s">
        <v>237</v>
      </c>
      <c r="O867" s="58" t="s">
        <v>264</v>
      </c>
      <c r="P867" s="3">
        <v>630</v>
      </c>
      <c r="Q867" s="126">
        <f>4146-1244.7-49.7-333.2-1630</f>
        <v>888.4000000000005</v>
      </c>
      <c r="R867" s="126">
        <v>4146</v>
      </c>
      <c r="S867" s="126">
        <v>4146</v>
      </c>
    </row>
    <row r="868" spans="1:19" ht="18.75">
      <c r="A868" s="59"/>
      <c r="B868" s="60"/>
      <c r="C868" s="65"/>
      <c r="D868" s="63"/>
      <c r="E868" s="66"/>
      <c r="F868" s="66"/>
      <c r="G868" s="67"/>
      <c r="H868" s="2" t="s">
        <v>584</v>
      </c>
      <c r="I868" s="9">
        <v>672</v>
      </c>
      <c r="J868" s="4">
        <v>7</v>
      </c>
      <c r="K868" s="11">
        <v>9</v>
      </c>
      <c r="L868" s="57" t="s">
        <v>232</v>
      </c>
      <c r="M868" s="58" t="s">
        <v>220</v>
      </c>
      <c r="N868" s="58" t="s">
        <v>232</v>
      </c>
      <c r="O868" s="58" t="s">
        <v>261</v>
      </c>
      <c r="P868" s="3"/>
      <c r="Q868" s="126">
        <f aca="true" t="shared" si="96" ref="Q868:S869">Q869</f>
        <v>52.4</v>
      </c>
      <c r="R868" s="126">
        <f t="shared" si="96"/>
        <v>60</v>
      </c>
      <c r="S868" s="126">
        <f t="shared" si="96"/>
        <v>60</v>
      </c>
    </row>
    <row r="869" spans="1:19" ht="18.75">
      <c r="A869" s="59"/>
      <c r="B869" s="60"/>
      <c r="C869" s="65"/>
      <c r="D869" s="63"/>
      <c r="E869" s="66"/>
      <c r="F869" s="66"/>
      <c r="G869" s="67"/>
      <c r="H869" s="2" t="s">
        <v>60</v>
      </c>
      <c r="I869" s="9">
        <v>672</v>
      </c>
      <c r="J869" s="4">
        <v>7</v>
      </c>
      <c r="K869" s="11">
        <v>9</v>
      </c>
      <c r="L869" s="57" t="s">
        <v>232</v>
      </c>
      <c r="M869" s="58" t="s">
        <v>220</v>
      </c>
      <c r="N869" s="58" t="s">
        <v>232</v>
      </c>
      <c r="O869" s="58" t="s">
        <v>264</v>
      </c>
      <c r="P869" s="3"/>
      <c r="Q869" s="126">
        <f t="shared" si="96"/>
        <v>52.4</v>
      </c>
      <c r="R869" s="126">
        <f t="shared" si="96"/>
        <v>60</v>
      </c>
      <c r="S869" s="126">
        <f t="shared" si="96"/>
        <v>60</v>
      </c>
    </row>
    <row r="870" spans="1:19" ht="18.75">
      <c r="A870" s="59"/>
      <c r="B870" s="60"/>
      <c r="C870" s="65"/>
      <c r="D870" s="63"/>
      <c r="E870" s="66"/>
      <c r="F870" s="66"/>
      <c r="G870" s="67"/>
      <c r="H870" s="2" t="s">
        <v>299</v>
      </c>
      <c r="I870" s="9">
        <v>672</v>
      </c>
      <c r="J870" s="4">
        <v>7</v>
      </c>
      <c r="K870" s="11">
        <v>9</v>
      </c>
      <c r="L870" s="57" t="s">
        <v>232</v>
      </c>
      <c r="M870" s="58" t="s">
        <v>220</v>
      </c>
      <c r="N870" s="58" t="s">
        <v>232</v>
      </c>
      <c r="O870" s="58" t="s">
        <v>264</v>
      </c>
      <c r="P870" s="3">
        <v>240</v>
      </c>
      <c r="Q870" s="126">
        <f>60-7.6</f>
        <v>52.4</v>
      </c>
      <c r="R870" s="126">
        <v>60</v>
      </c>
      <c r="S870" s="126">
        <v>60</v>
      </c>
    </row>
    <row r="871" spans="1:19" ht="18.75">
      <c r="A871" s="59"/>
      <c r="B871" s="60"/>
      <c r="C871" s="65"/>
      <c r="D871" s="63"/>
      <c r="E871" s="66"/>
      <c r="F871" s="66"/>
      <c r="G871" s="67"/>
      <c r="H871" s="2" t="s">
        <v>839</v>
      </c>
      <c r="I871" s="9">
        <v>672</v>
      </c>
      <c r="J871" s="4">
        <v>7</v>
      </c>
      <c r="K871" s="11">
        <v>9</v>
      </c>
      <c r="L871" s="57" t="s">
        <v>232</v>
      </c>
      <c r="M871" s="58" t="s">
        <v>220</v>
      </c>
      <c r="N871" s="58" t="s">
        <v>223</v>
      </c>
      <c r="O871" s="58" t="s">
        <v>261</v>
      </c>
      <c r="P871" s="3"/>
      <c r="Q871" s="126">
        <f>Q872+Q876+Q878+Q874</f>
        <v>1831.6000000000001</v>
      </c>
      <c r="R871" s="126">
        <f>R872+R876+R878+R874</f>
        <v>2743.6</v>
      </c>
      <c r="S871" s="126">
        <f>S872+S876+S878+S874</f>
        <v>34246</v>
      </c>
    </row>
    <row r="872" spans="1:19" ht="18.75" hidden="1">
      <c r="A872" s="59"/>
      <c r="B872" s="60"/>
      <c r="C872" s="65"/>
      <c r="D872" s="63"/>
      <c r="E872" s="66"/>
      <c r="F872" s="66"/>
      <c r="G872" s="67"/>
      <c r="H872" s="2" t="s">
        <v>60</v>
      </c>
      <c r="I872" s="5">
        <v>672</v>
      </c>
      <c r="J872" s="4">
        <v>7</v>
      </c>
      <c r="K872" s="11">
        <v>9</v>
      </c>
      <c r="L872" s="57" t="s">
        <v>232</v>
      </c>
      <c r="M872" s="58" t="s">
        <v>220</v>
      </c>
      <c r="N872" s="58" t="s">
        <v>223</v>
      </c>
      <c r="O872" s="58" t="s">
        <v>264</v>
      </c>
      <c r="P872" s="3"/>
      <c r="Q872" s="126">
        <f>Q873</f>
        <v>0</v>
      </c>
      <c r="R872" s="126">
        <f>R873</f>
        <v>0</v>
      </c>
      <c r="S872" s="126">
        <f>S873</f>
        <v>0</v>
      </c>
    </row>
    <row r="873" spans="1:19" ht="18.75" hidden="1">
      <c r="A873" s="59"/>
      <c r="B873" s="60"/>
      <c r="C873" s="65"/>
      <c r="D873" s="63"/>
      <c r="E873" s="66"/>
      <c r="F873" s="66"/>
      <c r="G873" s="67"/>
      <c r="H873" s="2" t="s">
        <v>299</v>
      </c>
      <c r="I873" s="9">
        <v>672</v>
      </c>
      <c r="J873" s="4">
        <v>7</v>
      </c>
      <c r="K873" s="11">
        <v>9</v>
      </c>
      <c r="L873" s="57" t="s">
        <v>232</v>
      </c>
      <c r="M873" s="58" t="s">
        <v>220</v>
      </c>
      <c r="N873" s="58" t="s">
        <v>223</v>
      </c>
      <c r="O873" s="58" t="s">
        <v>264</v>
      </c>
      <c r="P873" s="3">
        <v>240</v>
      </c>
      <c r="Q873" s="126"/>
      <c r="R873" s="126"/>
      <c r="S873" s="126"/>
    </row>
    <row r="874" spans="1:19" ht="18.75">
      <c r="A874" s="59"/>
      <c r="B874" s="60"/>
      <c r="C874" s="65"/>
      <c r="D874" s="63"/>
      <c r="E874" s="66"/>
      <c r="F874" s="66"/>
      <c r="G874" s="67"/>
      <c r="H874" s="2" t="s">
        <v>1069</v>
      </c>
      <c r="I874" s="9">
        <v>672</v>
      </c>
      <c r="J874" s="4">
        <v>7</v>
      </c>
      <c r="K874" s="11">
        <v>9</v>
      </c>
      <c r="L874" s="57" t="s">
        <v>232</v>
      </c>
      <c r="M874" s="58" t="s">
        <v>220</v>
      </c>
      <c r="N874" s="58" t="s">
        <v>223</v>
      </c>
      <c r="O874" s="58" t="s">
        <v>1070</v>
      </c>
      <c r="P874" s="3"/>
      <c r="Q874" s="126">
        <f>Q875</f>
        <v>1831.6000000000001</v>
      </c>
      <c r="R874" s="126">
        <f>R875</f>
        <v>2743.6</v>
      </c>
      <c r="S874" s="126">
        <f>S875</f>
        <v>3967.4</v>
      </c>
    </row>
    <row r="875" spans="1:19" ht="18.75">
      <c r="A875" s="59"/>
      <c r="B875" s="60"/>
      <c r="C875" s="65"/>
      <c r="D875" s="63"/>
      <c r="E875" s="66"/>
      <c r="F875" s="66"/>
      <c r="G875" s="67"/>
      <c r="H875" s="2" t="s">
        <v>301</v>
      </c>
      <c r="I875" s="9">
        <v>672</v>
      </c>
      <c r="J875" s="4">
        <v>7</v>
      </c>
      <c r="K875" s="11">
        <v>9</v>
      </c>
      <c r="L875" s="57" t="s">
        <v>232</v>
      </c>
      <c r="M875" s="58" t="s">
        <v>220</v>
      </c>
      <c r="N875" s="58" t="s">
        <v>223</v>
      </c>
      <c r="O875" s="58" t="s">
        <v>1070</v>
      </c>
      <c r="P875" s="3">
        <v>240</v>
      </c>
      <c r="Q875" s="126">
        <f>1831.2+0.4</f>
        <v>1831.6000000000001</v>
      </c>
      <c r="R875" s="126">
        <f>2743+0.6</f>
        <v>2743.6</v>
      </c>
      <c r="S875" s="126">
        <f>3966.6+0.8</f>
        <v>3967.4</v>
      </c>
    </row>
    <row r="876" spans="1:19" ht="18.75">
      <c r="A876" s="59"/>
      <c r="B876" s="60"/>
      <c r="C876" s="65"/>
      <c r="D876" s="63"/>
      <c r="E876" s="66"/>
      <c r="F876" s="66"/>
      <c r="G876" s="67"/>
      <c r="H876" s="2" t="s">
        <v>1022</v>
      </c>
      <c r="I876" s="9">
        <v>672</v>
      </c>
      <c r="J876" s="4">
        <v>7</v>
      </c>
      <c r="K876" s="11">
        <v>9</v>
      </c>
      <c r="L876" s="57" t="s">
        <v>232</v>
      </c>
      <c r="M876" s="58" t="s">
        <v>220</v>
      </c>
      <c r="N876" s="58" t="s">
        <v>223</v>
      </c>
      <c r="O876" s="58" t="s">
        <v>1032</v>
      </c>
      <c r="P876" s="3"/>
      <c r="Q876" s="126">
        <f>Q877</f>
        <v>0</v>
      </c>
      <c r="R876" s="126">
        <f>R877</f>
        <v>0</v>
      </c>
      <c r="S876" s="126">
        <f>S877</f>
        <v>17199.1</v>
      </c>
    </row>
    <row r="877" spans="1:19" ht="18.75">
      <c r="A877" s="59"/>
      <c r="B877" s="60"/>
      <c r="C877" s="65"/>
      <c r="D877" s="63"/>
      <c r="E877" s="66"/>
      <c r="F877" s="66"/>
      <c r="G877" s="67"/>
      <c r="H877" s="2" t="s">
        <v>299</v>
      </c>
      <c r="I877" s="9">
        <v>672</v>
      </c>
      <c r="J877" s="4">
        <v>7</v>
      </c>
      <c r="K877" s="11">
        <v>9</v>
      </c>
      <c r="L877" s="57" t="s">
        <v>232</v>
      </c>
      <c r="M877" s="58" t="s">
        <v>220</v>
      </c>
      <c r="N877" s="58" t="s">
        <v>223</v>
      </c>
      <c r="O877" s="58" t="s">
        <v>1032</v>
      </c>
      <c r="P877" s="3">
        <v>240</v>
      </c>
      <c r="Q877" s="126">
        <v>0</v>
      </c>
      <c r="R877" s="126">
        <v>0</v>
      </c>
      <c r="S877" s="126">
        <v>17199.1</v>
      </c>
    </row>
    <row r="878" spans="1:19" ht="47.25">
      <c r="A878" s="59"/>
      <c r="B878" s="60"/>
      <c r="C878" s="65"/>
      <c r="D878" s="63"/>
      <c r="E878" s="66"/>
      <c r="F878" s="66"/>
      <c r="G878" s="67"/>
      <c r="H878" s="2" t="s">
        <v>1023</v>
      </c>
      <c r="I878" s="9">
        <v>672</v>
      </c>
      <c r="J878" s="4">
        <v>7</v>
      </c>
      <c r="K878" s="11">
        <v>9</v>
      </c>
      <c r="L878" s="57" t="s">
        <v>232</v>
      </c>
      <c r="M878" s="58" t="s">
        <v>220</v>
      </c>
      <c r="N878" s="58" t="s">
        <v>223</v>
      </c>
      <c r="O878" s="58" t="s">
        <v>1021</v>
      </c>
      <c r="P878" s="3"/>
      <c r="Q878" s="126">
        <f>Q879</f>
        <v>0</v>
      </c>
      <c r="R878" s="126">
        <f>R879</f>
        <v>0</v>
      </c>
      <c r="S878" s="126">
        <f>S879</f>
        <v>13079.5</v>
      </c>
    </row>
    <row r="879" spans="1:19" ht="18.75">
      <c r="A879" s="59"/>
      <c r="B879" s="60"/>
      <c r="C879" s="65"/>
      <c r="D879" s="63"/>
      <c r="E879" s="66"/>
      <c r="F879" s="66"/>
      <c r="G879" s="67"/>
      <c r="H879" s="2" t="s">
        <v>301</v>
      </c>
      <c r="I879" s="9">
        <v>672</v>
      </c>
      <c r="J879" s="4">
        <v>7</v>
      </c>
      <c r="K879" s="11">
        <v>9</v>
      </c>
      <c r="L879" s="57" t="s">
        <v>232</v>
      </c>
      <c r="M879" s="58" t="s">
        <v>220</v>
      </c>
      <c r="N879" s="58" t="s">
        <v>223</v>
      </c>
      <c r="O879" s="58" t="s">
        <v>1021</v>
      </c>
      <c r="P879" s="3">
        <v>610</v>
      </c>
      <c r="Q879" s="126">
        <v>0</v>
      </c>
      <c r="R879" s="126">
        <v>0</v>
      </c>
      <c r="S879" s="126">
        <v>13079.5</v>
      </c>
    </row>
    <row r="880" spans="1:19" ht="18.75">
      <c r="A880" s="59"/>
      <c r="B880" s="60"/>
      <c r="C880" s="65"/>
      <c r="D880" s="63"/>
      <c r="E880" s="66"/>
      <c r="F880" s="66"/>
      <c r="G880" s="67"/>
      <c r="H880" s="2" t="s">
        <v>362</v>
      </c>
      <c r="I880" s="9">
        <v>672</v>
      </c>
      <c r="J880" s="4">
        <v>7</v>
      </c>
      <c r="K880" s="11">
        <v>9</v>
      </c>
      <c r="L880" s="57" t="s">
        <v>232</v>
      </c>
      <c r="M880" s="58" t="s">
        <v>220</v>
      </c>
      <c r="N880" s="58" t="s">
        <v>239</v>
      </c>
      <c r="O880" s="58" t="s">
        <v>261</v>
      </c>
      <c r="P880" s="3"/>
      <c r="Q880" s="126">
        <f>Q881+Q885</f>
        <v>5012.6</v>
      </c>
      <c r="R880" s="126">
        <f>R881+R885</f>
        <v>5221.8</v>
      </c>
      <c r="S880" s="126">
        <f>S881+S885</f>
        <v>5049.9</v>
      </c>
    </row>
    <row r="881" spans="1:19" ht="18.75">
      <c r="A881" s="59"/>
      <c r="B881" s="60"/>
      <c r="C881" s="65"/>
      <c r="D881" s="63"/>
      <c r="E881" s="66"/>
      <c r="F881" s="66"/>
      <c r="G881" s="67"/>
      <c r="H881" s="2" t="s">
        <v>60</v>
      </c>
      <c r="I881" s="5">
        <v>672</v>
      </c>
      <c r="J881" s="4">
        <v>7</v>
      </c>
      <c r="K881" s="11">
        <v>9</v>
      </c>
      <c r="L881" s="57" t="s">
        <v>232</v>
      </c>
      <c r="M881" s="58" t="s">
        <v>220</v>
      </c>
      <c r="N881" s="58" t="s">
        <v>239</v>
      </c>
      <c r="O881" s="58" t="s">
        <v>264</v>
      </c>
      <c r="P881" s="3"/>
      <c r="Q881" s="126">
        <f>Q882+Q883+Q884</f>
        <v>3178.9</v>
      </c>
      <c r="R881" s="126">
        <f>R882+R883+R884</f>
        <v>3388.1</v>
      </c>
      <c r="S881" s="126">
        <f>S882+S883+S884</f>
        <v>3216.2</v>
      </c>
    </row>
    <row r="882" spans="1:19" ht="18.75">
      <c r="A882" s="59"/>
      <c r="B882" s="60"/>
      <c r="C882" s="65"/>
      <c r="D882" s="63"/>
      <c r="E882" s="66"/>
      <c r="F882" s="66"/>
      <c r="G882" s="67"/>
      <c r="H882" s="2" t="s">
        <v>204</v>
      </c>
      <c r="I882" s="5">
        <v>672</v>
      </c>
      <c r="J882" s="4">
        <v>7</v>
      </c>
      <c r="K882" s="11">
        <v>9</v>
      </c>
      <c r="L882" s="57" t="s">
        <v>232</v>
      </c>
      <c r="M882" s="58" t="s">
        <v>220</v>
      </c>
      <c r="N882" s="58" t="s">
        <v>239</v>
      </c>
      <c r="O882" s="58" t="s">
        <v>264</v>
      </c>
      <c r="P882" s="3">
        <v>120</v>
      </c>
      <c r="Q882" s="126">
        <f>2577-3</f>
        <v>2574</v>
      </c>
      <c r="R882" s="126">
        <v>2716.2</v>
      </c>
      <c r="S882" s="126">
        <v>2716.2</v>
      </c>
    </row>
    <row r="883" spans="1:19" ht="18.75">
      <c r="A883" s="59"/>
      <c r="B883" s="60"/>
      <c r="C883" s="65"/>
      <c r="D883" s="63"/>
      <c r="E883" s="66"/>
      <c r="F883" s="66"/>
      <c r="G883" s="67"/>
      <c r="H883" s="2" t="s">
        <v>299</v>
      </c>
      <c r="I883" s="5">
        <v>672</v>
      </c>
      <c r="J883" s="4">
        <v>7</v>
      </c>
      <c r="K883" s="11">
        <v>9</v>
      </c>
      <c r="L883" s="57" t="s">
        <v>232</v>
      </c>
      <c r="M883" s="58" t="s">
        <v>220</v>
      </c>
      <c r="N883" s="58" t="s">
        <v>239</v>
      </c>
      <c r="O883" s="58" t="s">
        <v>264</v>
      </c>
      <c r="P883" s="3">
        <v>240</v>
      </c>
      <c r="Q883" s="126">
        <v>601.9</v>
      </c>
      <c r="R883" s="126">
        <v>671.9</v>
      </c>
      <c r="S883" s="126">
        <v>500</v>
      </c>
    </row>
    <row r="884" spans="1:19" ht="18.75">
      <c r="A884" s="59"/>
      <c r="B884" s="60"/>
      <c r="C884" s="65"/>
      <c r="D884" s="63"/>
      <c r="E884" s="66"/>
      <c r="F884" s="66"/>
      <c r="G884" s="67"/>
      <c r="H884" s="2" t="s">
        <v>300</v>
      </c>
      <c r="I884" s="5">
        <v>672</v>
      </c>
      <c r="J884" s="4">
        <v>7</v>
      </c>
      <c r="K884" s="11">
        <v>9</v>
      </c>
      <c r="L884" s="57" t="s">
        <v>232</v>
      </c>
      <c r="M884" s="58" t="s">
        <v>220</v>
      </c>
      <c r="N884" s="58" t="s">
        <v>239</v>
      </c>
      <c r="O884" s="58" t="s">
        <v>264</v>
      </c>
      <c r="P884" s="3">
        <v>850</v>
      </c>
      <c r="Q884" s="126">
        <f>3</f>
        <v>3</v>
      </c>
      <c r="R884" s="126">
        <v>0</v>
      </c>
      <c r="S884" s="126">
        <v>0</v>
      </c>
    </row>
    <row r="885" spans="1:19" ht="31.5">
      <c r="A885" s="59"/>
      <c r="B885" s="60"/>
      <c r="C885" s="65"/>
      <c r="D885" s="63"/>
      <c r="E885" s="66"/>
      <c r="F885" s="66"/>
      <c r="G885" s="67"/>
      <c r="H885" s="2" t="s">
        <v>374</v>
      </c>
      <c r="I885" s="5">
        <v>672</v>
      </c>
      <c r="J885" s="4">
        <v>7</v>
      </c>
      <c r="K885" s="11">
        <v>9</v>
      </c>
      <c r="L885" s="57" t="s">
        <v>232</v>
      </c>
      <c r="M885" s="58" t="s">
        <v>220</v>
      </c>
      <c r="N885" s="58" t="s">
        <v>239</v>
      </c>
      <c r="O885" s="58" t="s">
        <v>373</v>
      </c>
      <c r="P885" s="3"/>
      <c r="Q885" s="126">
        <f>Q886</f>
        <v>1833.7</v>
      </c>
      <c r="R885" s="126">
        <f>R886</f>
        <v>1833.7</v>
      </c>
      <c r="S885" s="126">
        <f>S886</f>
        <v>1833.7</v>
      </c>
    </row>
    <row r="886" spans="1:19" ht="18.75">
      <c r="A886" s="59"/>
      <c r="B886" s="60"/>
      <c r="C886" s="65"/>
      <c r="D886" s="63"/>
      <c r="E886" s="66"/>
      <c r="F886" s="66"/>
      <c r="G886" s="67"/>
      <c r="H886" s="2" t="s">
        <v>204</v>
      </c>
      <c r="I886" s="5">
        <v>672</v>
      </c>
      <c r="J886" s="4">
        <v>7</v>
      </c>
      <c r="K886" s="11">
        <v>9</v>
      </c>
      <c r="L886" s="57" t="s">
        <v>232</v>
      </c>
      <c r="M886" s="58" t="s">
        <v>220</v>
      </c>
      <c r="N886" s="58" t="s">
        <v>239</v>
      </c>
      <c r="O886" s="58" t="s">
        <v>373</v>
      </c>
      <c r="P886" s="3">
        <v>120</v>
      </c>
      <c r="Q886" s="126">
        <v>1833.7</v>
      </c>
      <c r="R886" s="126">
        <v>1833.7</v>
      </c>
      <c r="S886" s="126">
        <v>1833.7</v>
      </c>
    </row>
    <row r="887" spans="1:19" ht="18.75">
      <c r="A887" s="59"/>
      <c r="B887" s="60"/>
      <c r="C887" s="65"/>
      <c r="D887" s="63"/>
      <c r="E887" s="66"/>
      <c r="F887" s="66"/>
      <c r="G887" s="67"/>
      <c r="H887" s="2" t="s">
        <v>404</v>
      </c>
      <c r="I887" s="9">
        <v>672</v>
      </c>
      <c r="J887" s="4">
        <v>7</v>
      </c>
      <c r="K887" s="11">
        <v>9</v>
      </c>
      <c r="L887" s="57" t="s">
        <v>232</v>
      </c>
      <c r="M887" s="58" t="s">
        <v>220</v>
      </c>
      <c r="N887" s="58" t="s">
        <v>291</v>
      </c>
      <c r="O887" s="58" t="s">
        <v>261</v>
      </c>
      <c r="P887" s="3" t="s">
        <v>262</v>
      </c>
      <c r="Q887" s="126">
        <f aca="true" t="shared" si="97" ref="Q887:S888">Q888</f>
        <v>6641.7</v>
      </c>
      <c r="R887" s="126">
        <f t="shared" si="97"/>
        <v>0</v>
      </c>
      <c r="S887" s="126">
        <f t="shared" si="97"/>
        <v>0</v>
      </c>
    </row>
    <row r="888" spans="1:19" ht="47.25">
      <c r="A888" s="59"/>
      <c r="B888" s="60"/>
      <c r="C888" s="65"/>
      <c r="D888" s="63"/>
      <c r="E888" s="66"/>
      <c r="F888" s="66"/>
      <c r="G888" s="67"/>
      <c r="H888" s="2" t="s">
        <v>896</v>
      </c>
      <c r="I888" s="9">
        <v>672</v>
      </c>
      <c r="J888" s="4">
        <v>7</v>
      </c>
      <c r="K888" s="11">
        <v>9</v>
      </c>
      <c r="L888" s="57" t="s">
        <v>232</v>
      </c>
      <c r="M888" s="58" t="s">
        <v>220</v>
      </c>
      <c r="N888" s="58" t="s">
        <v>291</v>
      </c>
      <c r="O888" s="58" t="s">
        <v>823</v>
      </c>
      <c r="P888" s="3"/>
      <c r="Q888" s="126">
        <f t="shared" si="97"/>
        <v>6641.7</v>
      </c>
      <c r="R888" s="126">
        <f t="shared" si="97"/>
        <v>0</v>
      </c>
      <c r="S888" s="126">
        <f t="shared" si="97"/>
        <v>0</v>
      </c>
    </row>
    <row r="889" spans="1:19" ht="18.75">
      <c r="A889" s="59"/>
      <c r="B889" s="60"/>
      <c r="C889" s="65"/>
      <c r="D889" s="63"/>
      <c r="E889" s="66"/>
      <c r="F889" s="66"/>
      <c r="G889" s="67"/>
      <c r="H889" s="2" t="s">
        <v>299</v>
      </c>
      <c r="I889" s="5">
        <v>672</v>
      </c>
      <c r="J889" s="4">
        <v>7</v>
      </c>
      <c r="K889" s="11">
        <v>9</v>
      </c>
      <c r="L889" s="57" t="s">
        <v>232</v>
      </c>
      <c r="M889" s="58" t="s">
        <v>220</v>
      </c>
      <c r="N889" s="58" t="s">
        <v>291</v>
      </c>
      <c r="O889" s="58" t="s">
        <v>823</v>
      </c>
      <c r="P889" s="3">
        <v>240</v>
      </c>
      <c r="Q889" s="126">
        <v>6641.7</v>
      </c>
      <c r="R889" s="126">
        <v>0</v>
      </c>
      <c r="S889" s="126">
        <v>0</v>
      </c>
    </row>
    <row r="890" spans="1:19" ht="18.75">
      <c r="A890" s="59"/>
      <c r="B890" s="60"/>
      <c r="C890" s="65"/>
      <c r="D890" s="63"/>
      <c r="E890" s="66"/>
      <c r="F890" s="66"/>
      <c r="G890" s="67"/>
      <c r="H890" s="2" t="s">
        <v>317</v>
      </c>
      <c r="I890" s="5">
        <v>672</v>
      </c>
      <c r="J890" s="4">
        <v>7</v>
      </c>
      <c r="K890" s="11">
        <v>9</v>
      </c>
      <c r="L890" s="57" t="s">
        <v>232</v>
      </c>
      <c r="M890" s="58" t="s">
        <v>220</v>
      </c>
      <c r="N890" s="58" t="s">
        <v>394</v>
      </c>
      <c r="O890" s="58" t="s">
        <v>261</v>
      </c>
      <c r="P890" s="3"/>
      <c r="Q890" s="126">
        <f aca="true" t="shared" si="98" ref="Q890:S891">Q891</f>
        <v>3633.8</v>
      </c>
      <c r="R890" s="126">
        <f t="shared" si="98"/>
        <v>0</v>
      </c>
      <c r="S890" s="126">
        <f t="shared" si="98"/>
        <v>0</v>
      </c>
    </row>
    <row r="891" spans="1:19" ht="31.5">
      <c r="A891" s="59"/>
      <c r="B891" s="60"/>
      <c r="C891" s="65"/>
      <c r="D891" s="63"/>
      <c r="E891" s="66"/>
      <c r="F891" s="66"/>
      <c r="G891" s="67"/>
      <c r="H891" s="2" t="s">
        <v>845</v>
      </c>
      <c r="I891" s="5">
        <v>672</v>
      </c>
      <c r="J891" s="4">
        <v>7</v>
      </c>
      <c r="K891" s="11">
        <v>9</v>
      </c>
      <c r="L891" s="57" t="s">
        <v>232</v>
      </c>
      <c r="M891" s="58" t="s">
        <v>220</v>
      </c>
      <c r="N891" s="58" t="s">
        <v>394</v>
      </c>
      <c r="O891" s="58" t="s">
        <v>844</v>
      </c>
      <c r="P891" s="3"/>
      <c r="Q891" s="126">
        <f t="shared" si="98"/>
        <v>3633.8</v>
      </c>
      <c r="R891" s="126">
        <f t="shared" si="98"/>
        <v>0</v>
      </c>
      <c r="S891" s="126">
        <f t="shared" si="98"/>
        <v>0</v>
      </c>
    </row>
    <row r="892" spans="1:19" ht="18.75">
      <c r="A892" s="59"/>
      <c r="B892" s="60"/>
      <c r="C892" s="65"/>
      <c r="D892" s="63"/>
      <c r="E892" s="66"/>
      <c r="F892" s="66"/>
      <c r="G892" s="67"/>
      <c r="H892" s="2" t="s">
        <v>299</v>
      </c>
      <c r="I892" s="5">
        <v>672</v>
      </c>
      <c r="J892" s="4">
        <v>7</v>
      </c>
      <c r="K892" s="11">
        <v>9</v>
      </c>
      <c r="L892" s="57" t="s">
        <v>232</v>
      </c>
      <c r="M892" s="58" t="s">
        <v>220</v>
      </c>
      <c r="N892" s="58" t="s">
        <v>394</v>
      </c>
      <c r="O892" s="58" t="s">
        <v>844</v>
      </c>
      <c r="P892" s="3">
        <v>240</v>
      </c>
      <c r="Q892" s="126">
        <f>3633.8-105+105</f>
        <v>3633.8</v>
      </c>
      <c r="R892" s="126">
        <v>0</v>
      </c>
      <c r="S892" s="126">
        <v>0</v>
      </c>
    </row>
    <row r="893" spans="1:19" ht="31.5">
      <c r="A893" s="59"/>
      <c r="B893" s="60"/>
      <c r="C893" s="65"/>
      <c r="D893" s="63"/>
      <c r="E893" s="66"/>
      <c r="F893" s="66"/>
      <c r="G893" s="67"/>
      <c r="H893" s="2" t="s">
        <v>585</v>
      </c>
      <c r="I893" s="5">
        <v>672</v>
      </c>
      <c r="J893" s="4">
        <v>7</v>
      </c>
      <c r="K893" s="11">
        <v>9</v>
      </c>
      <c r="L893" s="57" t="s">
        <v>240</v>
      </c>
      <c r="M893" s="58" t="s">
        <v>220</v>
      </c>
      <c r="N893" s="58" t="s">
        <v>229</v>
      </c>
      <c r="O893" s="58" t="s">
        <v>261</v>
      </c>
      <c r="P893" s="3"/>
      <c r="Q893" s="126">
        <f>Q894+Q897</f>
        <v>130</v>
      </c>
      <c r="R893" s="126">
        <f>R894+R897</f>
        <v>130</v>
      </c>
      <c r="S893" s="126">
        <f>S894+S897</f>
        <v>130</v>
      </c>
    </row>
    <row r="894" spans="1:19" ht="18.75">
      <c r="A894" s="59"/>
      <c r="B894" s="60"/>
      <c r="C894" s="65"/>
      <c r="D894" s="63"/>
      <c r="E894" s="66"/>
      <c r="F894" s="66"/>
      <c r="G894" s="67"/>
      <c r="H894" s="2" t="s">
        <v>586</v>
      </c>
      <c r="I894" s="9">
        <v>672</v>
      </c>
      <c r="J894" s="4">
        <v>7</v>
      </c>
      <c r="K894" s="11">
        <v>9</v>
      </c>
      <c r="L894" s="57" t="s">
        <v>240</v>
      </c>
      <c r="M894" s="58" t="s">
        <v>220</v>
      </c>
      <c r="N894" s="58" t="s">
        <v>221</v>
      </c>
      <c r="O894" s="58" t="s">
        <v>261</v>
      </c>
      <c r="P894" s="3"/>
      <c r="Q894" s="126">
        <f aca="true" t="shared" si="99" ref="Q894:S895">Q895</f>
        <v>60</v>
      </c>
      <c r="R894" s="126">
        <f t="shared" si="99"/>
        <v>60</v>
      </c>
      <c r="S894" s="126">
        <f t="shared" si="99"/>
        <v>60</v>
      </c>
    </row>
    <row r="895" spans="1:19" ht="18.75">
      <c r="A895" s="59"/>
      <c r="B895" s="60"/>
      <c r="C895" s="65"/>
      <c r="D895" s="63"/>
      <c r="E895" s="66"/>
      <c r="F895" s="66"/>
      <c r="G895" s="67"/>
      <c r="H895" s="2" t="s">
        <v>385</v>
      </c>
      <c r="I895" s="9">
        <v>672</v>
      </c>
      <c r="J895" s="4">
        <v>7</v>
      </c>
      <c r="K895" s="11">
        <v>9</v>
      </c>
      <c r="L895" s="57" t="s">
        <v>240</v>
      </c>
      <c r="M895" s="58" t="s">
        <v>220</v>
      </c>
      <c r="N895" s="58" t="s">
        <v>221</v>
      </c>
      <c r="O895" s="58" t="s">
        <v>28</v>
      </c>
      <c r="P895" s="3"/>
      <c r="Q895" s="126">
        <f t="shared" si="99"/>
        <v>60</v>
      </c>
      <c r="R895" s="126">
        <f t="shared" si="99"/>
        <v>60</v>
      </c>
      <c r="S895" s="126">
        <f t="shared" si="99"/>
        <v>60</v>
      </c>
    </row>
    <row r="896" spans="1:19" ht="18.75">
      <c r="A896" s="59"/>
      <c r="B896" s="60"/>
      <c r="C896" s="65"/>
      <c r="D896" s="63"/>
      <c r="E896" s="66"/>
      <c r="F896" s="66"/>
      <c r="G896" s="67"/>
      <c r="H896" s="2" t="s">
        <v>299</v>
      </c>
      <c r="I896" s="9">
        <v>672</v>
      </c>
      <c r="J896" s="4">
        <v>7</v>
      </c>
      <c r="K896" s="11">
        <v>9</v>
      </c>
      <c r="L896" s="57" t="s">
        <v>240</v>
      </c>
      <c r="M896" s="58" t="s">
        <v>220</v>
      </c>
      <c r="N896" s="58" t="s">
        <v>221</v>
      </c>
      <c r="O896" s="58" t="s">
        <v>28</v>
      </c>
      <c r="P896" s="3">
        <v>240</v>
      </c>
      <c r="Q896" s="126">
        <v>60</v>
      </c>
      <c r="R896" s="126">
        <v>60</v>
      </c>
      <c r="S896" s="126">
        <v>60</v>
      </c>
    </row>
    <row r="897" spans="1:19" ht="31.5">
      <c r="A897" s="59"/>
      <c r="B897" s="60"/>
      <c r="C897" s="65"/>
      <c r="D897" s="63"/>
      <c r="E897" s="66"/>
      <c r="F897" s="66"/>
      <c r="G897" s="67"/>
      <c r="H897" s="2" t="s">
        <v>386</v>
      </c>
      <c r="I897" s="9">
        <v>672</v>
      </c>
      <c r="J897" s="4">
        <v>7</v>
      </c>
      <c r="K897" s="11">
        <v>9</v>
      </c>
      <c r="L897" s="57" t="s">
        <v>240</v>
      </c>
      <c r="M897" s="58" t="s">
        <v>220</v>
      </c>
      <c r="N897" s="58" t="s">
        <v>236</v>
      </c>
      <c r="O897" s="58" t="s">
        <v>261</v>
      </c>
      <c r="P897" s="3"/>
      <c r="Q897" s="126">
        <f aca="true" t="shared" si="100" ref="Q897:S898">Q898</f>
        <v>70</v>
      </c>
      <c r="R897" s="126">
        <f t="shared" si="100"/>
        <v>70</v>
      </c>
      <c r="S897" s="126">
        <f t="shared" si="100"/>
        <v>70</v>
      </c>
    </row>
    <row r="898" spans="1:19" ht="18.75">
      <c r="A898" s="59"/>
      <c r="B898" s="60"/>
      <c r="C898" s="65"/>
      <c r="D898" s="63"/>
      <c r="E898" s="66"/>
      <c r="F898" s="66"/>
      <c r="G898" s="67"/>
      <c r="H898" s="2" t="s">
        <v>387</v>
      </c>
      <c r="I898" s="9">
        <v>672</v>
      </c>
      <c r="J898" s="4">
        <v>7</v>
      </c>
      <c r="K898" s="11">
        <v>9</v>
      </c>
      <c r="L898" s="57" t="s">
        <v>240</v>
      </c>
      <c r="M898" s="58" t="s">
        <v>220</v>
      </c>
      <c r="N898" s="58" t="s">
        <v>236</v>
      </c>
      <c r="O898" s="58" t="s">
        <v>4</v>
      </c>
      <c r="P898" s="3"/>
      <c r="Q898" s="126">
        <f t="shared" si="100"/>
        <v>70</v>
      </c>
      <c r="R898" s="126">
        <f t="shared" si="100"/>
        <v>70</v>
      </c>
      <c r="S898" s="126">
        <f t="shared" si="100"/>
        <v>70</v>
      </c>
    </row>
    <row r="899" spans="1:19" ht="18.75">
      <c r="A899" s="59"/>
      <c r="B899" s="60"/>
      <c r="C899" s="65"/>
      <c r="D899" s="63"/>
      <c r="E899" s="66"/>
      <c r="F899" s="66"/>
      <c r="G899" s="67"/>
      <c r="H899" s="2" t="s">
        <v>299</v>
      </c>
      <c r="I899" s="9">
        <v>672</v>
      </c>
      <c r="J899" s="4">
        <v>7</v>
      </c>
      <c r="K899" s="11">
        <v>9</v>
      </c>
      <c r="L899" s="57" t="s">
        <v>240</v>
      </c>
      <c r="M899" s="58" t="s">
        <v>220</v>
      </c>
      <c r="N899" s="58" t="s">
        <v>236</v>
      </c>
      <c r="O899" s="58" t="s">
        <v>4</v>
      </c>
      <c r="P899" s="3">
        <v>240</v>
      </c>
      <c r="Q899" s="126">
        <v>70</v>
      </c>
      <c r="R899" s="126">
        <v>70</v>
      </c>
      <c r="S899" s="126">
        <v>70</v>
      </c>
    </row>
    <row r="900" spans="1:19" s="113" customFormat="1" ht="19.5" hidden="1">
      <c r="A900" s="89"/>
      <c r="B900" s="90"/>
      <c r="C900" s="100"/>
      <c r="D900" s="97"/>
      <c r="E900" s="92"/>
      <c r="F900" s="92"/>
      <c r="G900" s="102"/>
      <c r="H900" s="227" t="s">
        <v>248</v>
      </c>
      <c r="I900" s="251">
        <v>672</v>
      </c>
      <c r="J900" s="95">
        <v>10</v>
      </c>
      <c r="K900" s="86"/>
      <c r="L900" s="87"/>
      <c r="M900" s="88"/>
      <c r="N900" s="88"/>
      <c r="O900" s="88"/>
      <c r="P900" s="93"/>
      <c r="Q900" s="127">
        <f>Q901</f>
        <v>0</v>
      </c>
      <c r="R900" s="127">
        <f aca="true" t="shared" si="101" ref="R900:S903">R901</f>
        <v>0</v>
      </c>
      <c r="S900" s="127">
        <f t="shared" si="101"/>
        <v>0</v>
      </c>
    </row>
    <row r="901" spans="1:19" s="113" customFormat="1" ht="19.5" hidden="1">
      <c r="A901" s="89"/>
      <c r="B901" s="90"/>
      <c r="C901" s="100"/>
      <c r="D901" s="97"/>
      <c r="E901" s="92"/>
      <c r="F901" s="92"/>
      <c r="G901" s="102"/>
      <c r="H901" s="225" t="s">
        <v>78</v>
      </c>
      <c r="I901" s="251">
        <v>672</v>
      </c>
      <c r="J901" s="95">
        <v>10</v>
      </c>
      <c r="K901" s="86">
        <v>4</v>
      </c>
      <c r="L901" s="87"/>
      <c r="M901" s="88"/>
      <c r="N901" s="88"/>
      <c r="O901" s="88"/>
      <c r="P901" s="93"/>
      <c r="Q901" s="127">
        <f>Q902</f>
        <v>0</v>
      </c>
      <c r="R901" s="127">
        <f t="shared" si="101"/>
        <v>0</v>
      </c>
      <c r="S901" s="127">
        <f t="shared" si="101"/>
        <v>0</v>
      </c>
    </row>
    <row r="902" spans="1:19" ht="31.5" hidden="1">
      <c r="A902" s="59"/>
      <c r="B902" s="60"/>
      <c r="C902" s="65"/>
      <c r="D902" s="63"/>
      <c r="E902" s="66"/>
      <c r="F902" s="66"/>
      <c r="G902" s="67"/>
      <c r="H902" s="2" t="s">
        <v>581</v>
      </c>
      <c r="I902" s="9">
        <v>672</v>
      </c>
      <c r="J902" s="4">
        <v>10</v>
      </c>
      <c r="K902" s="11">
        <v>4</v>
      </c>
      <c r="L902" s="57" t="s">
        <v>232</v>
      </c>
      <c r="M902" s="58" t="s">
        <v>220</v>
      </c>
      <c r="N902" s="58" t="s">
        <v>229</v>
      </c>
      <c r="O902" s="58" t="s">
        <v>261</v>
      </c>
      <c r="P902" s="3"/>
      <c r="Q902" s="126">
        <f>Q903</f>
        <v>0</v>
      </c>
      <c r="R902" s="126">
        <f t="shared" si="101"/>
        <v>0</v>
      </c>
      <c r="S902" s="126">
        <f t="shared" si="101"/>
        <v>0</v>
      </c>
    </row>
    <row r="903" spans="1:19" ht="18.75" hidden="1">
      <c r="A903" s="59"/>
      <c r="B903" s="60"/>
      <c r="C903" s="65"/>
      <c r="D903" s="63"/>
      <c r="E903" s="66"/>
      <c r="F903" s="66"/>
      <c r="G903" s="67"/>
      <c r="H903" s="2" t="s">
        <v>270</v>
      </c>
      <c r="I903" s="9">
        <v>672</v>
      </c>
      <c r="J903" s="4">
        <v>10</v>
      </c>
      <c r="K903" s="11">
        <v>4</v>
      </c>
      <c r="L903" s="57" t="s">
        <v>232</v>
      </c>
      <c r="M903" s="58" t="s">
        <v>220</v>
      </c>
      <c r="N903" s="58" t="s">
        <v>221</v>
      </c>
      <c r="O903" s="58" t="s">
        <v>261</v>
      </c>
      <c r="P903" s="3"/>
      <c r="Q903" s="126">
        <f>Q904</f>
        <v>0</v>
      </c>
      <c r="R903" s="126">
        <f t="shared" si="101"/>
        <v>0</v>
      </c>
      <c r="S903" s="126">
        <f t="shared" si="101"/>
        <v>0</v>
      </c>
    </row>
    <row r="904" spans="1:19" ht="47.25" hidden="1">
      <c r="A904" s="59"/>
      <c r="B904" s="60"/>
      <c r="C904" s="65"/>
      <c r="D904" s="63"/>
      <c r="E904" s="66"/>
      <c r="F904" s="66"/>
      <c r="G904" s="67"/>
      <c r="H904" s="2" t="s">
        <v>52</v>
      </c>
      <c r="I904" s="9">
        <v>672</v>
      </c>
      <c r="J904" s="4">
        <v>10</v>
      </c>
      <c r="K904" s="11">
        <v>4</v>
      </c>
      <c r="L904" s="57" t="s">
        <v>232</v>
      </c>
      <c r="M904" s="58" t="s">
        <v>220</v>
      </c>
      <c r="N904" s="58" t="s">
        <v>221</v>
      </c>
      <c r="O904" s="58" t="s">
        <v>51</v>
      </c>
      <c r="P904" s="3"/>
      <c r="Q904" s="126">
        <f>Q905+Q906</f>
        <v>0</v>
      </c>
      <c r="R904" s="126">
        <f>R905+R906</f>
        <v>0</v>
      </c>
      <c r="S904" s="126">
        <f>S905+S906</f>
        <v>0</v>
      </c>
    </row>
    <row r="905" spans="1:19" ht="18.75" hidden="1">
      <c r="A905" s="59"/>
      <c r="B905" s="60"/>
      <c r="C905" s="65"/>
      <c r="D905" s="63"/>
      <c r="E905" s="66"/>
      <c r="F905" s="66"/>
      <c r="G905" s="67"/>
      <c r="H905" s="2" t="s">
        <v>299</v>
      </c>
      <c r="I905" s="9">
        <v>672</v>
      </c>
      <c r="J905" s="4">
        <v>10</v>
      </c>
      <c r="K905" s="11">
        <v>4</v>
      </c>
      <c r="L905" s="57" t="s">
        <v>232</v>
      </c>
      <c r="M905" s="58" t="s">
        <v>220</v>
      </c>
      <c r="N905" s="58" t="s">
        <v>221</v>
      </c>
      <c r="O905" s="58" t="s">
        <v>51</v>
      </c>
      <c r="P905" s="3">
        <v>240</v>
      </c>
      <c r="Q905" s="126">
        <v>0</v>
      </c>
      <c r="R905" s="126">
        <v>0</v>
      </c>
      <c r="S905" s="126">
        <v>0</v>
      </c>
    </row>
    <row r="906" spans="1:19" ht="18.75" hidden="1">
      <c r="A906" s="59"/>
      <c r="B906" s="60"/>
      <c r="C906" s="65"/>
      <c r="D906" s="63"/>
      <c r="E906" s="66"/>
      <c r="F906" s="66"/>
      <c r="G906" s="67"/>
      <c r="H906" s="2" t="s">
        <v>304</v>
      </c>
      <c r="I906" s="9">
        <v>672</v>
      </c>
      <c r="J906" s="4">
        <v>10</v>
      </c>
      <c r="K906" s="11">
        <v>4</v>
      </c>
      <c r="L906" s="57" t="s">
        <v>232</v>
      </c>
      <c r="M906" s="58" t="s">
        <v>220</v>
      </c>
      <c r="N906" s="58" t="s">
        <v>221</v>
      </c>
      <c r="O906" s="58" t="s">
        <v>51</v>
      </c>
      <c r="P906" s="3">
        <v>320</v>
      </c>
      <c r="Q906" s="126">
        <v>0</v>
      </c>
      <c r="R906" s="126">
        <v>0</v>
      </c>
      <c r="S906" s="126">
        <v>0</v>
      </c>
    </row>
    <row r="907" spans="1:19" s="111" customFormat="1" ht="16.5">
      <c r="A907" s="105"/>
      <c r="B907" s="114"/>
      <c r="C907" s="317"/>
      <c r="D907" s="115"/>
      <c r="E907" s="315"/>
      <c r="F907" s="315"/>
      <c r="G907" s="319"/>
      <c r="H907" s="320" t="s">
        <v>492</v>
      </c>
      <c r="I907" s="328">
        <v>673</v>
      </c>
      <c r="J907" s="329"/>
      <c r="K907" s="10"/>
      <c r="L907" s="81"/>
      <c r="M907" s="82"/>
      <c r="N907" s="82"/>
      <c r="O907" s="82"/>
      <c r="P907" s="18"/>
      <c r="Q907" s="213">
        <f>Q908+Q940+Q946+Q999+Q927+Q939+Q993</f>
        <v>18020.8</v>
      </c>
      <c r="R907" s="213">
        <f>R908+R940+R946+R999+R927+R939+R993</f>
        <v>11894.5</v>
      </c>
      <c r="S907" s="213">
        <f>S908+S940+S946+S999+S927+S939+S993</f>
        <v>11473.199999999999</v>
      </c>
    </row>
    <row r="908" spans="1:19" s="113" customFormat="1" ht="19.5">
      <c r="A908" s="89"/>
      <c r="B908" s="90"/>
      <c r="C908" s="100"/>
      <c r="D908" s="97"/>
      <c r="E908" s="92"/>
      <c r="F908" s="92"/>
      <c r="G908" s="102"/>
      <c r="H908" s="227" t="s">
        <v>235</v>
      </c>
      <c r="I908" s="251">
        <v>673</v>
      </c>
      <c r="J908" s="95">
        <v>1</v>
      </c>
      <c r="K908" s="86"/>
      <c r="L908" s="87"/>
      <c r="M908" s="88"/>
      <c r="N908" s="88"/>
      <c r="O908" s="88"/>
      <c r="P908" s="93"/>
      <c r="Q908" s="127">
        <f>Q909+Q918</f>
        <v>5519.700000000001</v>
      </c>
      <c r="R908" s="127">
        <f>R909+R918</f>
        <v>5521.6</v>
      </c>
      <c r="S908" s="127">
        <f>S909+S918</f>
        <v>5320</v>
      </c>
    </row>
    <row r="909" spans="1:19" s="113" customFormat="1" ht="31.5">
      <c r="A909" s="89"/>
      <c r="B909" s="90"/>
      <c r="C909" s="100"/>
      <c r="D909" s="97"/>
      <c r="E909" s="92"/>
      <c r="F909" s="92"/>
      <c r="G909" s="102"/>
      <c r="H909" s="225" t="s">
        <v>238</v>
      </c>
      <c r="I909" s="251">
        <v>673</v>
      </c>
      <c r="J909" s="95">
        <v>1</v>
      </c>
      <c r="K909" s="86">
        <v>4</v>
      </c>
      <c r="L909" s="87"/>
      <c r="M909" s="88"/>
      <c r="N909" s="88"/>
      <c r="O909" s="88"/>
      <c r="P909" s="93"/>
      <c r="Q909" s="127">
        <f aca="true" t="shared" si="102" ref="Q909:S910">Q910</f>
        <v>5134.6</v>
      </c>
      <c r="R909" s="127">
        <f t="shared" si="102"/>
        <v>5521.6</v>
      </c>
      <c r="S909" s="127">
        <f t="shared" si="102"/>
        <v>5320</v>
      </c>
    </row>
    <row r="910" spans="1:19" ht="31.5">
      <c r="A910" s="61"/>
      <c r="B910" s="60"/>
      <c r="C910" s="65"/>
      <c r="D910" s="63"/>
      <c r="E910" s="66"/>
      <c r="F910" s="66"/>
      <c r="G910" s="67"/>
      <c r="H910" s="2" t="s">
        <v>522</v>
      </c>
      <c r="I910" s="9">
        <v>673</v>
      </c>
      <c r="J910" s="4">
        <v>1</v>
      </c>
      <c r="K910" s="11">
        <v>4</v>
      </c>
      <c r="L910" s="57" t="s">
        <v>494</v>
      </c>
      <c r="M910" s="58" t="s">
        <v>220</v>
      </c>
      <c r="N910" s="58" t="s">
        <v>229</v>
      </c>
      <c r="O910" s="58" t="s">
        <v>261</v>
      </c>
      <c r="P910" s="3"/>
      <c r="Q910" s="126">
        <f t="shared" si="102"/>
        <v>5134.6</v>
      </c>
      <c r="R910" s="126">
        <f t="shared" si="102"/>
        <v>5521.6</v>
      </c>
      <c r="S910" s="126">
        <f t="shared" si="102"/>
        <v>5320</v>
      </c>
    </row>
    <row r="911" spans="1:19" ht="31.5">
      <c r="A911" s="61"/>
      <c r="B911" s="60"/>
      <c r="C911" s="65"/>
      <c r="D911" s="63"/>
      <c r="E911" s="66"/>
      <c r="F911" s="66"/>
      <c r="G911" s="67"/>
      <c r="H911" s="2" t="s">
        <v>900</v>
      </c>
      <c r="I911" s="9">
        <v>673</v>
      </c>
      <c r="J911" s="4">
        <v>1</v>
      </c>
      <c r="K911" s="11">
        <v>4</v>
      </c>
      <c r="L911" s="57" t="s">
        <v>494</v>
      </c>
      <c r="M911" s="58" t="s">
        <v>220</v>
      </c>
      <c r="N911" s="58" t="s">
        <v>237</v>
      </c>
      <c r="O911" s="58" t="s">
        <v>261</v>
      </c>
      <c r="P911" s="3"/>
      <c r="Q911" s="126">
        <f>Q912+Q916</f>
        <v>5134.6</v>
      </c>
      <c r="R911" s="126">
        <f>R912+R916</f>
        <v>5521.6</v>
      </c>
      <c r="S911" s="126">
        <f>S912+S916</f>
        <v>5320</v>
      </c>
    </row>
    <row r="912" spans="1:19" ht="18.75">
      <c r="A912" s="61"/>
      <c r="B912" s="60"/>
      <c r="C912" s="65"/>
      <c r="D912" s="63"/>
      <c r="E912" s="66"/>
      <c r="F912" s="66"/>
      <c r="G912" s="67"/>
      <c r="H912" s="2" t="s">
        <v>60</v>
      </c>
      <c r="I912" s="9">
        <v>673</v>
      </c>
      <c r="J912" s="4">
        <v>1</v>
      </c>
      <c r="K912" s="11">
        <v>4</v>
      </c>
      <c r="L912" s="57" t="s">
        <v>494</v>
      </c>
      <c r="M912" s="58" t="s">
        <v>220</v>
      </c>
      <c r="N912" s="58" t="s">
        <v>237</v>
      </c>
      <c r="O912" s="58" t="s">
        <v>264</v>
      </c>
      <c r="P912" s="3"/>
      <c r="Q912" s="126">
        <f>Q913+Q914+Q915</f>
        <v>3564.9</v>
      </c>
      <c r="R912" s="126">
        <f>R913+R914+R915</f>
        <v>3951.9</v>
      </c>
      <c r="S912" s="126">
        <f>S913+S914+S915</f>
        <v>3750.3</v>
      </c>
    </row>
    <row r="913" spans="1:19" ht="18.75">
      <c r="A913" s="61"/>
      <c r="B913" s="60"/>
      <c r="C913" s="65"/>
      <c r="D913" s="63"/>
      <c r="E913" s="66"/>
      <c r="F913" s="66"/>
      <c r="G913" s="67"/>
      <c r="H913" s="2" t="s">
        <v>204</v>
      </c>
      <c r="I913" s="5">
        <v>673</v>
      </c>
      <c r="J913" s="4">
        <v>1</v>
      </c>
      <c r="K913" s="11">
        <v>4</v>
      </c>
      <c r="L913" s="57" t="s">
        <v>494</v>
      </c>
      <c r="M913" s="58" t="s">
        <v>220</v>
      </c>
      <c r="N913" s="58" t="s">
        <v>237</v>
      </c>
      <c r="O913" s="58" t="s">
        <v>264</v>
      </c>
      <c r="P913" s="3">
        <v>120</v>
      </c>
      <c r="Q913" s="126">
        <f>2206-116.1</f>
        <v>2089.9</v>
      </c>
      <c r="R913" s="126">
        <v>2325.3</v>
      </c>
      <c r="S913" s="126">
        <v>2325.3</v>
      </c>
    </row>
    <row r="914" spans="1:19" ht="18.75">
      <c r="A914" s="59"/>
      <c r="B914" s="60"/>
      <c r="C914" s="65"/>
      <c r="D914" s="63"/>
      <c r="E914" s="66"/>
      <c r="F914" s="66"/>
      <c r="G914" s="67">
        <v>850</v>
      </c>
      <c r="H914" s="2" t="s">
        <v>299</v>
      </c>
      <c r="I914" s="9">
        <v>673</v>
      </c>
      <c r="J914" s="4">
        <v>1</v>
      </c>
      <c r="K914" s="11">
        <v>4</v>
      </c>
      <c r="L914" s="57" t="s">
        <v>494</v>
      </c>
      <c r="M914" s="58" t="s">
        <v>220</v>
      </c>
      <c r="N914" s="58" t="s">
        <v>237</v>
      </c>
      <c r="O914" s="58" t="s">
        <v>264</v>
      </c>
      <c r="P914" s="3">
        <v>240</v>
      </c>
      <c r="Q914" s="126">
        <f>1251.7-9.8+116.1-1.6-10-3+57+1.6</f>
        <v>1402</v>
      </c>
      <c r="R914" s="126">
        <v>1566.6</v>
      </c>
      <c r="S914" s="126">
        <v>1365</v>
      </c>
    </row>
    <row r="915" spans="1:19" ht="18.75">
      <c r="A915" s="59"/>
      <c r="B915" s="60"/>
      <c r="C915" s="59"/>
      <c r="D915" s="63"/>
      <c r="E915" s="66"/>
      <c r="F915" s="66"/>
      <c r="G915" s="51"/>
      <c r="H915" s="2" t="s">
        <v>300</v>
      </c>
      <c r="I915" s="9">
        <v>673</v>
      </c>
      <c r="J915" s="4">
        <v>1</v>
      </c>
      <c r="K915" s="11">
        <v>4</v>
      </c>
      <c r="L915" s="57" t="s">
        <v>494</v>
      </c>
      <c r="M915" s="58" t="s">
        <v>220</v>
      </c>
      <c r="N915" s="58" t="s">
        <v>237</v>
      </c>
      <c r="O915" s="58" t="s">
        <v>264</v>
      </c>
      <c r="P915" s="3">
        <v>850</v>
      </c>
      <c r="Q915" s="126">
        <f>60+10+3</f>
        <v>73</v>
      </c>
      <c r="R915" s="126">
        <v>60</v>
      </c>
      <c r="S915" s="126">
        <v>60</v>
      </c>
    </row>
    <row r="916" spans="1:19" ht="31.5">
      <c r="A916" s="59"/>
      <c r="B916" s="60"/>
      <c r="C916" s="59"/>
      <c r="D916" s="63"/>
      <c r="E916" s="77"/>
      <c r="F916" s="77"/>
      <c r="G916" s="51"/>
      <c r="H916" s="26" t="s">
        <v>374</v>
      </c>
      <c r="I916" s="5">
        <v>673</v>
      </c>
      <c r="J916" s="4">
        <v>1</v>
      </c>
      <c r="K916" s="11">
        <v>4</v>
      </c>
      <c r="L916" s="57" t="s">
        <v>494</v>
      </c>
      <c r="M916" s="58" t="s">
        <v>220</v>
      </c>
      <c r="N916" s="58" t="s">
        <v>237</v>
      </c>
      <c r="O916" s="58" t="s">
        <v>373</v>
      </c>
      <c r="P916" s="3"/>
      <c r="Q916" s="126">
        <f>Q917</f>
        <v>1569.7</v>
      </c>
      <c r="R916" s="126">
        <f>R917</f>
        <v>1569.7</v>
      </c>
      <c r="S916" s="126">
        <f>S917</f>
        <v>1569.7</v>
      </c>
    </row>
    <row r="917" spans="1:19" ht="18.75">
      <c r="A917" s="59"/>
      <c r="B917" s="60"/>
      <c r="C917" s="59"/>
      <c r="D917" s="63"/>
      <c r="E917" s="77"/>
      <c r="F917" s="77"/>
      <c r="G917" s="51"/>
      <c r="H917" s="2" t="s">
        <v>204</v>
      </c>
      <c r="I917" s="5">
        <v>673</v>
      </c>
      <c r="J917" s="4">
        <v>1</v>
      </c>
      <c r="K917" s="11">
        <v>4</v>
      </c>
      <c r="L917" s="57" t="s">
        <v>494</v>
      </c>
      <c r="M917" s="58" t="s">
        <v>220</v>
      </c>
      <c r="N917" s="58" t="s">
        <v>237</v>
      </c>
      <c r="O917" s="58" t="s">
        <v>373</v>
      </c>
      <c r="P917" s="3">
        <v>120</v>
      </c>
      <c r="Q917" s="126">
        <v>1569.7</v>
      </c>
      <c r="R917" s="126">
        <v>1569.7</v>
      </c>
      <c r="S917" s="126">
        <v>1569.7</v>
      </c>
    </row>
    <row r="918" spans="1:19" s="113" customFormat="1" ht="19.5">
      <c r="A918" s="89"/>
      <c r="B918" s="90"/>
      <c r="C918" s="89"/>
      <c r="D918" s="97"/>
      <c r="E918" s="98"/>
      <c r="F918" s="98"/>
      <c r="G918" s="84"/>
      <c r="H918" s="96" t="s">
        <v>206</v>
      </c>
      <c r="I918" s="251">
        <v>673</v>
      </c>
      <c r="J918" s="86">
        <v>1</v>
      </c>
      <c r="K918" s="86">
        <v>13</v>
      </c>
      <c r="L918" s="87"/>
      <c r="M918" s="88"/>
      <c r="N918" s="88"/>
      <c r="O918" s="88"/>
      <c r="P918" s="93"/>
      <c r="Q918" s="127">
        <f aca="true" t="shared" si="103" ref="Q918:S921">Q919</f>
        <v>385.1</v>
      </c>
      <c r="R918" s="127">
        <f t="shared" si="103"/>
        <v>0</v>
      </c>
      <c r="S918" s="127">
        <f t="shared" si="103"/>
        <v>0</v>
      </c>
    </row>
    <row r="919" spans="1:19" ht="31.5">
      <c r="A919" s="59"/>
      <c r="B919" s="60"/>
      <c r="C919" s="59"/>
      <c r="D919" s="63"/>
      <c r="E919" s="77"/>
      <c r="F919" s="77"/>
      <c r="G919" s="51"/>
      <c r="H919" s="2" t="s">
        <v>522</v>
      </c>
      <c r="I919" s="9">
        <v>673</v>
      </c>
      <c r="J919" s="4">
        <v>1</v>
      </c>
      <c r="K919" s="11">
        <v>13</v>
      </c>
      <c r="L919" s="57" t="s">
        <v>494</v>
      </c>
      <c r="M919" s="58" t="s">
        <v>220</v>
      </c>
      <c r="N919" s="58" t="s">
        <v>229</v>
      </c>
      <c r="O919" s="58" t="s">
        <v>261</v>
      </c>
      <c r="P919" s="3"/>
      <c r="Q919" s="126">
        <f t="shared" si="103"/>
        <v>385.1</v>
      </c>
      <c r="R919" s="126">
        <f t="shared" si="103"/>
        <v>0</v>
      </c>
      <c r="S919" s="126">
        <f t="shared" si="103"/>
        <v>0</v>
      </c>
    </row>
    <row r="920" spans="1:19" ht="31.5">
      <c r="A920" s="59"/>
      <c r="B920" s="60"/>
      <c r="C920" s="59"/>
      <c r="D920" s="63"/>
      <c r="E920" s="77"/>
      <c r="F920" s="77"/>
      <c r="G920" s="51"/>
      <c r="H920" s="2" t="s">
        <v>900</v>
      </c>
      <c r="I920" s="9">
        <v>673</v>
      </c>
      <c r="J920" s="4">
        <v>1</v>
      </c>
      <c r="K920" s="11">
        <v>13</v>
      </c>
      <c r="L920" s="57" t="s">
        <v>494</v>
      </c>
      <c r="M920" s="58" t="s">
        <v>220</v>
      </c>
      <c r="N920" s="58" t="s">
        <v>237</v>
      </c>
      <c r="O920" s="58" t="s">
        <v>261</v>
      </c>
      <c r="P920" s="3"/>
      <c r="Q920" s="126">
        <f>Q921+Q923+Q925</f>
        <v>385.1</v>
      </c>
      <c r="R920" s="126">
        <f>R921+R923+R925</f>
        <v>0</v>
      </c>
      <c r="S920" s="126">
        <f>S921+S923+S925</f>
        <v>0</v>
      </c>
    </row>
    <row r="921" spans="1:19" ht="18.75">
      <c r="A921" s="59"/>
      <c r="B921" s="60"/>
      <c r="C921" s="59"/>
      <c r="D921" s="63"/>
      <c r="E921" s="77"/>
      <c r="F921" s="77"/>
      <c r="G921" s="51"/>
      <c r="H921" s="303" t="s">
        <v>462</v>
      </c>
      <c r="I921" s="9">
        <v>673</v>
      </c>
      <c r="J921" s="4">
        <v>1</v>
      </c>
      <c r="K921" s="11">
        <v>13</v>
      </c>
      <c r="L921" s="57" t="s">
        <v>494</v>
      </c>
      <c r="M921" s="58" t="s">
        <v>220</v>
      </c>
      <c r="N921" s="58" t="s">
        <v>237</v>
      </c>
      <c r="O921" s="58" t="s">
        <v>926</v>
      </c>
      <c r="P921" s="3"/>
      <c r="Q921" s="126">
        <f t="shared" si="103"/>
        <v>209.8</v>
      </c>
      <c r="R921" s="126">
        <f t="shared" si="103"/>
        <v>0</v>
      </c>
      <c r="S921" s="126">
        <f t="shared" si="103"/>
        <v>0</v>
      </c>
    </row>
    <row r="922" spans="1:19" ht="18.75">
      <c r="A922" s="59"/>
      <c r="B922" s="60"/>
      <c r="C922" s="59"/>
      <c r="D922" s="63"/>
      <c r="E922" s="77"/>
      <c r="F922" s="77"/>
      <c r="G922" s="51"/>
      <c r="H922" s="2" t="s">
        <v>299</v>
      </c>
      <c r="I922" s="9">
        <v>673</v>
      </c>
      <c r="J922" s="4">
        <v>1</v>
      </c>
      <c r="K922" s="11">
        <v>13</v>
      </c>
      <c r="L922" s="57" t="s">
        <v>494</v>
      </c>
      <c r="M922" s="58" t="s">
        <v>220</v>
      </c>
      <c r="N922" s="58" t="s">
        <v>237</v>
      </c>
      <c r="O922" s="58" t="s">
        <v>926</v>
      </c>
      <c r="P922" s="3">
        <v>240</v>
      </c>
      <c r="Q922" s="126">
        <v>209.8</v>
      </c>
      <c r="R922" s="126">
        <v>0</v>
      </c>
      <c r="S922" s="126">
        <v>0</v>
      </c>
    </row>
    <row r="923" spans="1:19" ht="18.75">
      <c r="A923" s="59"/>
      <c r="B923" s="60"/>
      <c r="C923" s="59"/>
      <c r="D923" s="63"/>
      <c r="E923" s="77"/>
      <c r="F923" s="77"/>
      <c r="G923" s="51"/>
      <c r="H923" s="2" t="s">
        <v>60</v>
      </c>
      <c r="I923" s="9">
        <v>673</v>
      </c>
      <c r="J923" s="4">
        <v>1</v>
      </c>
      <c r="K923" s="11">
        <v>13</v>
      </c>
      <c r="L923" s="57" t="s">
        <v>494</v>
      </c>
      <c r="M923" s="58" t="s">
        <v>220</v>
      </c>
      <c r="N923" s="58" t="s">
        <v>237</v>
      </c>
      <c r="O923" s="58" t="s">
        <v>264</v>
      </c>
      <c r="P923" s="3"/>
      <c r="Q923" s="126">
        <f>Q924</f>
        <v>165.3</v>
      </c>
      <c r="R923" s="126">
        <f>R924</f>
        <v>0</v>
      </c>
      <c r="S923" s="126">
        <f>S924</f>
        <v>0</v>
      </c>
    </row>
    <row r="924" spans="1:19" ht="18.75">
      <c r="A924" s="59"/>
      <c r="B924" s="60"/>
      <c r="C924" s="59"/>
      <c r="D924" s="63"/>
      <c r="E924" s="77"/>
      <c r="F924" s="77"/>
      <c r="G924" s="51"/>
      <c r="H924" s="2" t="s">
        <v>299</v>
      </c>
      <c r="I924" s="9">
        <v>673</v>
      </c>
      <c r="J924" s="4">
        <v>1</v>
      </c>
      <c r="K924" s="11">
        <v>13</v>
      </c>
      <c r="L924" s="57" t="s">
        <v>494</v>
      </c>
      <c r="M924" s="58" t="s">
        <v>220</v>
      </c>
      <c r="N924" s="58" t="s">
        <v>237</v>
      </c>
      <c r="O924" s="58" t="s">
        <v>264</v>
      </c>
      <c r="P924" s="3">
        <v>240</v>
      </c>
      <c r="Q924" s="126">
        <f>5+160.3</f>
        <v>165.3</v>
      </c>
      <c r="R924" s="126">
        <v>0</v>
      </c>
      <c r="S924" s="126">
        <v>0</v>
      </c>
    </row>
    <row r="925" spans="1:19" ht="18.75">
      <c r="A925" s="59"/>
      <c r="B925" s="60"/>
      <c r="C925" s="59"/>
      <c r="D925" s="63"/>
      <c r="E925" s="77"/>
      <c r="F925" s="77"/>
      <c r="G925" s="51"/>
      <c r="H925" s="2" t="s">
        <v>74</v>
      </c>
      <c r="I925" s="9">
        <v>673</v>
      </c>
      <c r="J925" s="4">
        <v>1</v>
      </c>
      <c r="K925" s="11">
        <v>13</v>
      </c>
      <c r="L925" s="57" t="s">
        <v>494</v>
      </c>
      <c r="M925" s="58" t="s">
        <v>220</v>
      </c>
      <c r="N925" s="58" t="s">
        <v>237</v>
      </c>
      <c r="O925" s="58" t="s">
        <v>46</v>
      </c>
      <c r="P925" s="3"/>
      <c r="Q925" s="126">
        <f>Q926</f>
        <v>10</v>
      </c>
      <c r="R925" s="126">
        <f>R926</f>
        <v>0</v>
      </c>
      <c r="S925" s="126">
        <f>S926</f>
        <v>0</v>
      </c>
    </row>
    <row r="926" spans="1:19" ht="18.75">
      <c r="A926" s="59"/>
      <c r="B926" s="60"/>
      <c r="C926" s="59"/>
      <c r="D926" s="63"/>
      <c r="E926" s="77"/>
      <c r="F926" s="77"/>
      <c r="G926" s="51"/>
      <c r="H926" s="2" t="s">
        <v>299</v>
      </c>
      <c r="I926" s="9">
        <v>673</v>
      </c>
      <c r="J926" s="4">
        <v>1</v>
      </c>
      <c r="K926" s="11">
        <v>13</v>
      </c>
      <c r="L926" s="57" t="s">
        <v>494</v>
      </c>
      <c r="M926" s="58" t="s">
        <v>220</v>
      </c>
      <c r="N926" s="58" t="s">
        <v>237</v>
      </c>
      <c r="O926" s="58" t="s">
        <v>46</v>
      </c>
      <c r="P926" s="3">
        <v>240</v>
      </c>
      <c r="Q926" s="126">
        <v>10</v>
      </c>
      <c r="R926" s="126">
        <v>0</v>
      </c>
      <c r="S926" s="126">
        <v>0</v>
      </c>
    </row>
    <row r="927" spans="1:19" ht="18.75">
      <c r="A927" s="59"/>
      <c r="B927" s="60"/>
      <c r="C927" s="59"/>
      <c r="D927" s="63"/>
      <c r="E927" s="77"/>
      <c r="F927" s="77"/>
      <c r="G927" s="51"/>
      <c r="H927" s="353" t="s">
        <v>563</v>
      </c>
      <c r="I927" s="253">
        <v>673</v>
      </c>
      <c r="J927" s="249">
        <v>2</v>
      </c>
      <c r="K927" s="53"/>
      <c r="L927" s="57"/>
      <c r="M927" s="58"/>
      <c r="N927" s="58"/>
      <c r="O927" s="58"/>
      <c r="P927" s="3"/>
      <c r="Q927" s="126">
        <f aca="true" t="shared" si="104" ref="Q927:S931">Q928</f>
        <v>300.2</v>
      </c>
      <c r="R927" s="126">
        <f t="shared" si="104"/>
        <v>330</v>
      </c>
      <c r="S927" s="126">
        <f t="shared" si="104"/>
        <v>360.3</v>
      </c>
    </row>
    <row r="928" spans="1:19" ht="18.75">
      <c r="A928" s="59"/>
      <c r="B928" s="60"/>
      <c r="C928" s="59"/>
      <c r="D928" s="63"/>
      <c r="E928" s="77"/>
      <c r="F928" s="77"/>
      <c r="G928" s="51"/>
      <c r="H928" s="96" t="s">
        <v>564</v>
      </c>
      <c r="I928" s="253">
        <v>673</v>
      </c>
      <c r="J928" s="249">
        <v>2</v>
      </c>
      <c r="K928" s="53">
        <v>3</v>
      </c>
      <c r="L928" s="57"/>
      <c r="M928" s="58"/>
      <c r="N928" s="58"/>
      <c r="O928" s="58"/>
      <c r="P928" s="3"/>
      <c r="Q928" s="126">
        <f t="shared" si="104"/>
        <v>300.2</v>
      </c>
      <c r="R928" s="126">
        <f t="shared" si="104"/>
        <v>330</v>
      </c>
      <c r="S928" s="126">
        <f t="shared" si="104"/>
        <v>360.3</v>
      </c>
    </row>
    <row r="929" spans="1:19" ht="31.5">
      <c r="A929" s="59"/>
      <c r="B929" s="60"/>
      <c r="C929" s="59"/>
      <c r="D929" s="63"/>
      <c r="E929" s="77"/>
      <c r="F929" s="77"/>
      <c r="G929" s="51"/>
      <c r="H929" s="2" t="s">
        <v>522</v>
      </c>
      <c r="I929" s="5">
        <v>673</v>
      </c>
      <c r="J929" s="4">
        <v>2</v>
      </c>
      <c r="K929" s="11">
        <v>3</v>
      </c>
      <c r="L929" s="57" t="s">
        <v>494</v>
      </c>
      <c r="M929" s="58" t="s">
        <v>220</v>
      </c>
      <c r="N929" s="58" t="s">
        <v>237</v>
      </c>
      <c r="O929" s="58" t="s">
        <v>261</v>
      </c>
      <c r="P929" s="3"/>
      <c r="Q929" s="126">
        <f t="shared" si="104"/>
        <v>300.2</v>
      </c>
      <c r="R929" s="126">
        <f t="shared" si="104"/>
        <v>330</v>
      </c>
      <c r="S929" s="126">
        <f t="shared" si="104"/>
        <v>360.3</v>
      </c>
    </row>
    <row r="930" spans="1:19" ht="31.5">
      <c r="A930" s="59"/>
      <c r="B930" s="60"/>
      <c r="C930" s="59"/>
      <c r="D930" s="63"/>
      <c r="E930" s="77"/>
      <c r="F930" s="77"/>
      <c r="G930" s="51"/>
      <c r="H930" s="2" t="s">
        <v>903</v>
      </c>
      <c r="I930" s="5">
        <v>673</v>
      </c>
      <c r="J930" s="4">
        <v>2</v>
      </c>
      <c r="K930" s="11">
        <v>3</v>
      </c>
      <c r="L930" s="57" t="s">
        <v>494</v>
      </c>
      <c r="M930" s="58" t="s">
        <v>220</v>
      </c>
      <c r="N930" s="58" t="s">
        <v>237</v>
      </c>
      <c r="O930" s="58" t="s">
        <v>504</v>
      </c>
      <c r="P930" s="3"/>
      <c r="Q930" s="126">
        <f t="shared" si="104"/>
        <v>300.2</v>
      </c>
      <c r="R930" s="126">
        <f t="shared" si="104"/>
        <v>330</v>
      </c>
      <c r="S930" s="126">
        <f t="shared" si="104"/>
        <v>360.3</v>
      </c>
    </row>
    <row r="931" spans="1:21" ht="31.5">
      <c r="A931" s="59"/>
      <c r="B931" s="60"/>
      <c r="C931" s="59"/>
      <c r="D931" s="63"/>
      <c r="E931" s="77"/>
      <c r="F931" s="77"/>
      <c r="G931" s="51"/>
      <c r="H931" s="2" t="s">
        <v>560</v>
      </c>
      <c r="I931" s="5">
        <v>673</v>
      </c>
      <c r="J931" s="4">
        <v>2</v>
      </c>
      <c r="K931" s="11">
        <v>3</v>
      </c>
      <c r="L931" s="57" t="s">
        <v>494</v>
      </c>
      <c r="M931" s="58" t="s">
        <v>220</v>
      </c>
      <c r="N931" s="58" t="s">
        <v>237</v>
      </c>
      <c r="O931" s="58" t="s">
        <v>504</v>
      </c>
      <c r="P931" s="3"/>
      <c r="Q931" s="126">
        <f t="shared" si="104"/>
        <v>300.2</v>
      </c>
      <c r="R931" s="126">
        <f t="shared" si="104"/>
        <v>330</v>
      </c>
      <c r="S931" s="126">
        <f t="shared" si="104"/>
        <v>360.3</v>
      </c>
      <c r="T931" s="331"/>
      <c r="U931" s="332"/>
    </row>
    <row r="932" spans="1:20" ht="18.75">
      <c r="A932" s="59"/>
      <c r="B932" s="60"/>
      <c r="C932" s="59"/>
      <c r="D932" s="63"/>
      <c r="E932" s="77"/>
      <c r="F932" s="77"/>
      <c r="G932" s="51"/>
      <c r="H932" s="2" t="s">
        <v>204</v>
      </c>
      <c r="I932" s="5">
        <v>673</v>
      </c>
      <c r="J932" s="4">
        <v>2</v>
      </c>
      <c r="K932" s="11">
        <v>3</v>
      </c>
      <c r="L932" s="57" t="s">
        <v>494</v>
      </c>
      <c r="M932" s="58" t="s">
        <v>220</v>
      </c>
      <c r="N932" s="58" t="s">
        <v>237</v>
      </c>
      <c r="O932" s="58" t="s">
        <v>504</v>
      </c>
      <c r="P932" s="3">
        <v>120</v>
      </c>
      <c r="Q932" s="126">
        <v>300.2</v>
      </c>
      <c r="R932" s="126">
        <v>330</v>
      </c>
      <c r="S932" s="126">
        <v>360.3</v>
      </c>
      <c r="T932" s="333"/>
    </row>
    <row r="933" spans="1:19" s="221" customFormat="1" ht="18.75">
      <c r="A933" s="61"/>
      <c r="B933" s="226"/>
      <c r="C933" s="61"/>
      <c r="D933" s="250"/>
      <c r="E933" s="252"/>
      <c r="F933" s="252"/>
      <c r="G933" s="220"/>
      <c r="H933" s="80" t="s">
        <v>256</v>
      </c>
      <c r="I933" s="253">
        <v>673</v>
      </c>
      <c r="J933" s="274">
        <v>3</v>
      </c>
      <c r="K933" s="53"/>
      <c r="L933" s="54"/>
      <c r="M933" s="55"/>
      <c r="N933" s="55"/>
      <c r="O933" s="55"/>
      <c r="P933" s="6"/>
      <c r="Q933" s="248">
        <f>Q939</f>
        <v>100</v>
      </c>
      <c r="R933" s="248">
        <f>R939</f>
        <v>100</v>
      </c>
      <c r="S933" s="248">
        <f>S939</f>
        <v>100</v>
      </c>
    </row>
    <row r="934" spans="1:19" s="113" customFormat="1" ht="31.5">
      <c r="A934" s="89"/>
      <c r="B934" s="90"/>
      <c r="C934" s="89"/>
      <c r="D934" s="97"/>
      <c r="E934" s="98"/>
      <c r="F934" s="98"/>
      <c r="G934" s="84"/>
      <c r="H934" s="96" t="s">
        <v>888</v>
      </c>
      <c r="I934" s="99">
        <v>673</v>
      </c>
      <c r="J934" s="103">
        <v>3</v>
      </c>
      <c r="K934" s="86">
        <v>10</v>
      </c>
      <c r="L934" s="87"/>
      <c r="M934" s="88"/>
      <c r="N934" s="88"/>
      <c r="O934" s="88"/>
      <c r="P934" s="93"/>
      <c r="Q934" s="127">
        <f>Q939</f>
        <v>100</v>
      </c>
      <c r="R934" s="127">
        <f>R939</f>
        <v>100</v>
      </c>
      <c r="S934" s="127">
        <f>S939</f>
        <v>100</v>
      </c>
    </row>
    <row r="935" spans="1:19" ht="31.5">
      <c r="A935" s="59"/>
      <c r="B935" s="60"/>
      <c r="C935" s="59"/>
      <c r="D935" s="63"/>
      <c r="E935" s="77"/>
      <c r="F935" s="77"/>
      <c r="G935" s="51"/>
      <c r="H935" s="2" t="s">
        <v>526</v>
      </c>
      <c r="I935" s="5">
        <v>673</v>
      </c>
      <c r="J935" s="15">
        <v>3</v>
      </c>
      <c r="K935" s="11">
        <v>10</v>
      </c>
      <c r="L935" s="57" t="s">
        <v>215</v>
      </c>
      <c r="M935" s="58" t="s">
        <v>220</v>
      </c>
      <c r="N935" s="58" t="s">
        <v>229</v>
      </c>
      <c r="O935" s="58" t="s">
        <v>261</v>
      </c>
      <c r="P935" s="3"/>
      <c r="Q935" s="126">
        <f>Q939</f>
        <v>100</v>
      </c>
      <c r="R935" s="126">
        <f>R939</f>
        <v>100</v>
      </c>
      <c r="S935" s="126">
        <f>S939</f>
        <v>100</v>
      </c>
    </row>
    <row r="936" spans="1:19" ht="31.5">
      <c r="A936" s="59"/>
      <c r="B936" s="60"/>
      <c r="C936" s="59"/>
      <c r="D936" s="63"/>
      <c r="E936" s="77"/>
      <c r="F936" s="77"/>
      <c r="G936" s="51"/>
      <c r="H936" s="2" t="s">
        <v>1006</v>
      </c>
      <c r="I936" s="5">
        <v>673</v>
      </c>
      <c r="J936" s="15">
        <v>3</v>
      </c>
      <c r="K936" s="11">
        <v>10</v>
      </c>
      <c r="L936" s="57" t="s">
        <v>889</v>
      </c>
      <c r="M936" s="58" t="s">
        <v>217</v>
      </c>
      <c r="N936" s="58" t="s">
        <v>220</v>
      </c>
      <c r="O936" s="58" t="s">
        <v>261</v>
      </c>
      <c r="P936" s="3"/>
      <c r="Q936" s="126">
        <f>Q939</f>
        <v>100</v>
      </c>
      <c r="R936" s="126">
        <f>R939</f>
        <v>100</v>
      </c>
      <c r="S936" s="126">
        <f>S939</f>
        <v>100</v>
      </c>
    </row>
    <row r="937" spans="1:19" ht="31.5">
      <c r="A937" s="59"/>
      <c r="B937" s="60"/>
      <c r="C937" s="59"/>
      <c r="D937" s="63"/>
      <c r="E937" s="77"/>
      <c r="F937" s="77"/>
      <c r="G937" s="51"/>
      <c r="H937" s="2" t="s">
        <v>881</v>
      </c>
      <c r="I937" s="5">
        <v>673</v>
      </c>
      <c r="J937" s="15">
        <v>3</v>
      </c>
      <c r="K937" s="11">
        <v>10</v>
      </c>
      <c r="L937" s="57" t="s">
        <v>215</v>
      </c>
      <c r="M937" s="58" t="s">
        <v>217</v>
      </c>
      <c r="N937" s="58" t="s">
        <v>236</v>
      </c>
      <c r="O937" s="58" t="s">
        <v>511</v>
      </c>
      <c r="P937" s="3"/>
      <c r="Q937" s="126">
        <f>Q939</f>
        <v>100</v>
      </c>
      <c r="R937" s="126">
        <f>R939</f>
        <v>100</v>
      </c>
      <c r="S937" s="126">
        <f>S939</f>
        <v>100</v>
      </c>
    </row>
    <row r="938" spans="1:19" ht="18.75">
      <c r="A938" s="59"/>
      <c r="B938" s="60"/>
      <c r="C938" s="59"/>
      <c r="D938" s="63"/>
      <c r="E938" s="77"/>
      <c r="F938" s="77"/>
      <c r="G938" s="51"/>
      <c r="H938" s="2" t="s">
        <v>884</v>
      </c>
      <c r="I938" s="5">
        <v>673</v>
      </c>
      <c r="J938" s="15">
        <v>3</v>
      </c>
      <c r="K938" s="11">
        <v>10</v>
      </c>
      <c r="L938" s="57" t="s">
        <v>215</v>
      </c>
      <c r="M938" s="58" t="s">
        <v>217</v>
      </c>
      <c r="N938" s="58" t="s">
        <v>236</v>
      </c>
      <c r="O938" s="58" t="s">
        <v>890</v>
      </c>
      <c r="P938" s="3"/>
      <c r="Q938" s="126">
        <f>Q939</f>
        <v>100</v>
      </c>
      <c r="R938" s="126">
        <f>R939</f>
        <v>100</v>
      </c>
      <c r="S938" s="126">
        <f>S939</f>
        <v>100</v>
      </c>
    </row>
    <row r="939" spans="1:19" ht="18.75">
      <c r="A939" s="59"/>
      <c r="B939" s="60"/>
      <c r="C939" s="59"/>
      <c r="D939" s="63"/>
      <c r="E939" s="77"/>
      <c r="F939" s="77"/>
      <c r="G939" s="51"/>
      <c r="H939" s="2" t="s">
        <v>299</v>
      </c>
      <c r="I939" s="5">
        <v>673</v>
      </c>
      <c r="J939" s="15">
        <v>3</v>
      </c>
      <c r="K939" s="11">
        <v>10</v>
      </c>
      <c r="L939" s="57" t="s">
        <v>215</v>
      </c>
      <c r="M939" s="58" t="s">
        <v>217</v>
      </c>
      <c r="N939" s="58" t="s">
        <v>236</v>
      </c>
      <c r="O939" s="58" t="s">
        <v>890</v>
      </c>
      <c r="P939" s="3">
        <v>240</v>
      </c>
      <c r="Q939" s="126">
        <v>100</v>
      </c>
      <c r="R939" s="126">
        <v>100</v>
      </c>
      <c r="S939" s="126">
        <v>100</v>
      </c>
    </row>
    <row r="940" spans="1:19" s="113" customFormat="1" ht="19.5">
      <c r="A940" s="89"/>
      <c r="B940" s="90"/>
      <c r="C940" s="89"/>
      <c r="D940" s="97"/>
      <c r="E940" s="98"/>
      <c r="F940" s="98"/>
      <c r="G940" s="84"/>
      <c r="H940" s="227" t="s">
        <v>242</v>
      </c>
      <c r="I940" s="99">
        <v>673</v>
      </c>
      <c r="J940" s="95">
        <v>4</v>
      </c>
      <c r="K940" s="86"/>
      <c r="L940" s="87"/>
      <c r="M940" s="88"/>
      <c r="N940" s="88"/>
      <c r="O940" s="88"/>
      <c r="P940" s="93"/>
      <c r="Q940" s="127">
        <f>Q941</f>
        <v>2100</v>
      </c>
      <c r="R940" s="127">
        <f aca="true" t="shared" si="105" ref="R940:S944">R941</f>
        <v>1700</v>
      </c>
      <c r="S940" s="127">
        <f t="shared" si="105"/>
        <v>1700</v>
      </c>
    </row>
    <row r="941" spans="1:19" s="113" customFormat="1" ht="19.5">
      <c r="A941" s="89"/>
      <c r="B941" s="90"/>
      <c r="C941" s="89"/>
      <c r="D941" s="97"/>
      <c r="E941" s="98"/>
      <c r="F941" s="98"/>
      <c r="G941" s="84"/>
      <c r="H941" s="227" t="s">
        <v>58</v>
      </c>
      <c r="I941" s="99">
        <v>673</v>
      </c>
      <c r="J941" s="95">
        <v>4</v>
      </c>
      <c r="K941" s="86">
        <v>9</v>
      </c>
      <c r="L941" s="87"/>
      <c r="M941" s="88"/>
      <c r="N941" s="88"/>
      <c r="O941" s="88"/>
      <c r="P941" s="93"/>
      <c r="Q941" s="127">
        <f>Q942</f>
        <v>2100</v>
      </c>
      <c r="R941" s="127">
        <f t="shared" si="105"/>
        <v>1700</v>
      </c>
      <c r="S941" s="127">
        <f t="shared" si="105"/>
        <v>1700</v>
      </c>
    </row>
    <row r="942" spans="1:19" ht="31.5">
      <c r="A942" s="61"/>
      <c r="B942" s="60"/>
      <c r="C942" s="59"/>
      <c r="D942" s="63"/>
      <c r="E942" s="77"/>
      <c r="F942" s="77"/>
      <c r="G942" s="51"/>
      <c r="H942" s="70" t="s">
        <v>535</v>
      </c>
      <c r="I942" s="5">
        <v>673</v>
      </c>
      <c r="J942" s="4">
        <v>4</v>
      </c>
      <c r="K942" s="11">
        <v>9</v>
      </c>
      <c r="L942" s="57" t="s">
        <v>218</v>
      </c>
      <c r="M942" s="58" t="s">
        <v>220</v>
      </c>
      <c r="N942" s="58" t="s">
        <v>229</v>
      </c>
      <c r="O942" s="58" t="s">
        <v>261</v>
      </c>
      <c r="P942" s="3"/>
      <c r="Q942" s="126">
        <f>Q943</f>
        <v>2100</v>
      </c>
      <c r="R942" s="126">
        <f t="shared" si="105"/>
        <v>1700</v>
      </c>
      <c r="S942" s="126">
        <f t="shared" si="105"/>
        <v>1700</v>
      </c>
    </row>
    <row r="943" spans="1:19" ht="18.75">
      <c r="A943" s="61"/>
      <c r="B943" s="60"/>
      <c r="C943" s="59"/>
      <c r="D943" s="63"/>
      <c r="E943" s="77"/>
      <c r="F943" s="77"/>
      <c r="G943" s="51"/>
      <c r="H943" s="70" t="s">
        <v>333</v>
      </c>
      <c r="I943" s="5">
        <v>673</v>
      </c>
      <c r="J943" s="4">
        <v>4</v>
      </c>
      <c r="K943" s="11">
        <v>9</v>
      </c>
      <c r="L943" s="57" t="s">
        <v>218</v>
      </c>
      <c r="M943" s="58" t="s">
        <v>220</v>
      </c>
      <c r="N943" s="58" t="s">
        <v>237</v>
      </c>
      <c r="O943" s="58" t="s">
        <v>261</v>
      </c>
      <c r="P943" s="3"/>
      <c r="Q943" s="126">
        <f>Q944</f>
        <v>2100</v>
      </c>
      <c r="R943" s="126">
        <f t="shared" si="105"/>
        <v>1700</v>
      </c>
      <c r="S943" s="126">
        <f t="shared" si="105"/>
        <v>1700</v>
      </c>
    </row>
    <row r="944" spans="1:19" ht="18.75">
      <c r="A944" s="61"/>
      <c r="B944" s="60"/>
      <c r="C944" s="59"/>
      <c r="D944" s="63"/>
      <c r="E944" s="77"/>
      <c r="F944" s="77"/>
      <c r="G944" s="51"/>
      <c r="H944" s="2" t="s">
        <v>320</v>
      </c>
      <c r="I944" s="5">
        <v>673</v>
      </c>
      <c r="J944" s="4">
        <v>4</v>
      </c>
      <c r="K944" s="11">
        <v>9</v>
      </c>
      <c r="L944" s="57" t="s">
        <v>218</v>
      </c>
      <c r="M944" s="58" t="s">
        <v>220</v>
      </c>
      <c r="N944" s="58" t="s">
        <v>237</v>
      </c>
      <c r="O944" s="58" t="s">
        <v>496</v>
      </c>
      <c r="P944" s="3"/>
      <c r="Q944" s="126">
        <f>Q945</f>
        <v>2100</v>
      </c>
      <c r="R944" s="126">
        <f t="shared" si="105"/>
        <v>1700</v>
      </c>
      <c r="S944" s="126">
        <f t="shared" si="105"/>
        <v>1700</v>
      </c>
    </row>
    <row r="945" spans="1:19" ht="18.75">
      <c r="A945" s="61"/>
      <c r="B945" s="60"/>
      <c r="C945" s="59"/>
      <c r="D945" s="63"/>
      <c r="E945" s="77"/>
      <c r="F945" s="77"/>
      <c r="G945" s="51"/>
      <c r="H945" s="2" t="s">
        <v>299</v>
      </c>
      <c r="I945" s="5">
        <v>673</v>
      </c>
      <c r="J945" s="13">
        <v>4</v>
      </c>
      <c r="K945" s="11">
        <v>9</v>
      </c>
      <c r="L945" s="57" t="s">
        <v>218</v>
      </c>
      <c r="M945" s="58" t="s">
        <v>220</v>
      </c>
      <c r="N945" s="58" t="s">
        <v>237</v>
      </c>
      <c r="O945" s="58" t="s">
        <v>496</v>
      </c>
      <c r="P945" s="3">
        <v>240</v>
      </c>
      <c r="Q945" s="126">
        <f>1700+1000-600</f>
        <v>2100</v>
      </c>
      <c r="R945" s="126">
        <v>1700</v>
      </c>
      <c r="S945" s="126">
        <v>1700</v>
      </c>
    </row>
    <row r="946" spans="1:19" s="221" customFormat="1" ht="18.75">
      <c r="A946" s="61"/>
      <c r="B946" s="226"/>
      <c r="C946" s="61"/>
      <c r="D946" s="250"/>
      <c r="E946" s="252"/>
      <c r="F946" s="252"/>
      <c r="G946" s="220"/>
      <c r="H946" s="23" t="s">
        <v>244</v>
      </c>
      <c r="I946" s="253">
        <v>673</v>
      </c>
      <c r="J946" s="254">
        <v>5</v>
      </c>
      <c r="K946" s="53"/>
      <c r="L946" s="54"/>
      <c r="M946" s="55"/>
      <c r="N946" s="55"/>
      <c r="O946" s="55"/>
      <c r="P946" s="6"/>
      <c r="Q946" s="248">
        <f>Q958+Q980+Q947</f>
        <v>10000.9</v>
      </c>
      <c r="R946" s="248">
        <f>R958+R980+R947</f>
        <v>4242.9</v>
      </c>
      <c r="S946" s="248">
        <f>S958+S980+S947</f>
        <v>3992.9</v>
      </c>
    </row>
    <row r="947" spans="1:19" s="221" customFormat="1" ht="18.75">
      <c r="A947" s="61"/>
      <c r="B947" s="226"/>
      <c r="C947" s="61"/>
      <c r="D947" s="250"/>
      <c r="E947" s="252"/>
      <c r="F947" s="252"/>
      <c r="G947" s="220"/>
      <c r="H947" s="222" t="s">
        <v>312</v>
      </c>
      <c r="I947" s="251">
        <v>673</v>
      </c>
      <c r="J947" s="86">
        <v>5</v>
      </c>
      <c r="K947" s="86">
        <v>2</v>
      </c>
      <c r="L947" s="87"/>
      <c r="M947" s="88"/>
      <c r="N947" s="88"/>
      <c r="O947" s="88"/>
      <c r="P947" s="85"/>
      <c r="Q947" s="124">
        <f>Q948+Q954</f>
        <v>2135</v>
      </c>
      <c r="R947" s="124">
        <f>R948+R954</f>
        <v>0</v>
      </c>
      <c r="S947" s="124">
        <f>S948+S954</f>
        <v>0</v>
      </c>
    </row>
    <row r="948" spans="1:19" s="221" customFormat="1" ht="31.5">
      <c r="A948" s="61"/>
      <c r="B948" s="226"/>
      <c r="C948" s="61"/>
      <c r="D948" s="250"/>
      <c r="E948" s="252"/>
      <c r="F948" s="252"/>
      <c r="G948" s="220"/>
      <c r="H948" s="2" t="s">
        <v>522</v>
      </c>
      <c r="I948" s="9">
        <v>673</v>
      </c>
      <c r="J948" s="11">
        <v>5</v>
      </c>
      <c r="K948" s="11">
        <v>2</v>
      </c>
      <c r="L948" s="57" t="s">
        <v>494</v>
      </c>
      <c r="M948" s="58" t="s">
        <v>220</v>
      </c>
      <c r="N948" s="58" t="s">
        <v>229</v>
      </c>
      <c r="O948" s="58" t="s">
        <v>261</v>
      </c>
      <c r="P948" s="7"/>
      <c r="Q948" s="124">
        <f>Q949</f>
        <v>900</v>
      </c>
      <c r="R948" s="124">
        <f>R949</f>
        <v>0</v>
      </c>
      <c r="S948" s="124">
        <f>S949</f>
        <v>0</v>
      </c>
    </row>
    <row r="949" spans="1:19" s="221" customFormat="1" ht="31.5">
      <c r="A949" s="61"/>
      <c r="B949" s="226"/>
      <c r="C949" s="61"/>
      <c r="D949" s="250"/>
      <c r="E949" s="252"/>
      <c r="F949" s="252"/>
      <c r="G949" s="220"/>
      <c r="H949" s="2" t="s">
        <v>900</v>
      </c>
      <c r="I949" s="9">
        <v>673</v>
      </c>
      <c r="J949" s="11">
        <v>5</v>
      </c>
      <c r="K949" s="11">
        <v>2</v>
      </c>
      <c r="L949" s="57" t="s">
        <v>494</v>
      </c>
      <c r="M949" s="58" t="s">
        <v>220</v>
      </c>
      <c r="N949" s="58" t="s">
        <v>237</v>
      </c>
      <c r="O949" s="58" t="s">
        <v>261</v>
      </c>
      <c r="P949" s="7"/>
      <c r="Q949" s="124">
        <f>Q952+Q950</f>
        <v>900</v>
      </c>
      <c r="R949" s="124">
        <f>R952+R950</f>
        <v>0</v>
      </c>
      <c r="S949" s="124">
        <f>S952+S950</f>
        <v>0</v>
      </c>
    </row>
    <row r="950" spans="1:19" s="221" customFormat="1" ht="18.75" hidden="1">
      <c r="A950" s="61"/>
      <c r="B950" s="226"/>
      <c r="C950" s="61"/>
      <c r="D950" s="250"/>
      <c r="E950" s="252"/>
      <c r="F950" s="252"/>
      <c r="G950" s="220"/>
      <c r="H950" s="2" t="s">
        <v>60</v>
      </c>
      <c r="I950" s="9">
        <v>673</v>
      </c>
      <c r="J950" s="11">
        <v>5</v>
      </c>
      <c r="K950" s="11">
        <v>2</v>
      </c>
      <c r="L950" s="57" t="s">
        <v>494</v>
      </c>
      <c r="M950" s="58" t="s">
        <v>220</v>
      </c>
      <c r="N950" s="58" t="s">
        <v>237</v>
      </c>
      <c r="O950" s="58" t="s">
        <v>264</v>
      </c>
      <c r="P950" s="7"/>
      <c r="Q950" s="124">
        <f>Q951</f>
        <v>0</v>
      </c>
      <c r="R950" s="124">
        <f>R951</f>
        <v>0</v>
      </c>
      <c r="S950" s="124">
        <f>S951</f>
        <v>0</v>
      </c>
    </row>
    <row r="951" spans="1:19" s="221" customFormat="1" ht="18.75" hidden="1">
      <c r="A951" s="61"/>
      <c r="B951" s="226"/>
      <c r="C951" s="61"/>
      <c r="D951" s="250"/>
      <c r="E951" s="252"/>
      <c r="F951" s="252"/>
      <c r="G951" s="220"/>
      <c r="H951" s="2" t="s">
        <v>299</v>
      </c>
      <c r="I951" s="9">
        <v>673</v>
      </c>
      <c r="J951" s="11">
        <v>5</v>
      </c>
      <c r="K951" s="11">
        <v>2</v>
      </c>
      <c r="L951" s="57" t="s">
        <v>494</v>
      </c>
      <c r="M951" s="58" t="s">
        <v>220</v>
      </c>
      <c r="N951" s="58" t="s">
        <v>237</v>
      </c>
      <c r="O951" s="58" t="s">
        <v>264</v>
      </c>
      <c r="P951" s="7">
        <v>240</v>
      </c>
      <c r="Q951" s="124"/>
      <c r="R951" s="124"/>
      <c r="S951" s="124"/>
    </row>
    <row r="952" spans="1:19" s="221" customFormat="1" ht="18.75">
      <c r="A952" s="61"/>
      <c r="B952" s="226"/>
      <c r="C952" s="61"/>
      <c r="D952" s="250"/>
      <c r="E952" s="252"/>
      <c r="F952" s="252"/>
      <c r="G952" s="220"/>
      <c r="H952" s="26" t="s">
        <v>462</v>
      </c>
      <c r="I952" s="9">
        <v>673</v>
      </c>
      <c r="J952" s="11">
        <v>5</v>
      </c>
      <c r="K952" s="11">
        <v>2</v>
      </c>
      <c r="L952" s="57" t="s">
        <v>494</v>
      </c>
      <c r="M952" s="58" t="s">
        <v>220</v>
      </c>
      <c r="N952" s="58" t="s">
        <v>237</v>
      </c>
      <c r="O952" s="58" t="s">
        <v>316</v>
      </c>
      <c r="P952" s="7"/>
      <c r="Q952" s="124">
        <f>Q953</f>
        <v>900</v>
      </c>
      <c r="R952" s="124">
        <f>R953</f>
        <v>0</v>
      </c>
      <c r="S952" s="124">
        <f>S953</f>
        <v>0</v>
      </c>
    </row>
    <row r="953" spans="1:19" s="221" customFormat="1" ht="18.75">
      <c r="A953" s="61"/>
      <c r="B953" s="226"/>
      <c r="C953" s="61"/>
      <c r="D953" s="250"/>
      <c r="E953" s="252"/>
      <c r="F953" s="252"/>
      <c r="G953" s="220"/>
      <c r="H953" s="2" t="s">
        <v>299</v>
      </c>
      <c r="I953" s="9">
        <v>673</v>
      </c>
      <c r="J953" s="11">
        <v>5</v>
      </c>
      <c r="K953" s="11">
        <v>2</v>
      </c>
      <c r="L953" s="57" t="s">
        <v>494</v>
      </c>
      <c r="M953" s="58" t="s">
        <v>220</v>
      </c>
      <c r="N953" s="58" t="s">
        <v>237</v>
      </c>
      <c r="O953" s="58" t="s">
        <v>316</v>
      </c>
      <c r="P953" s="7">
        <v>240</v>
      </c>
      <c r="Q953" s="124">
        <v>900</v>
      </c>
      <c r="R953" s="126">
        <v>0</v>
      </c>
      <c r="S953" s="126">
        <v>0</v>
      </c>
    </row>
    <row r="954" spans="1:19" s="221" customFormat="1" ht="31.5">
      <c r="A954" s="61"/>
      <c r="B954" s="226"/>
      <c r="C954" s="61"/>
      <c r="D954" s="250"/>
      <c r="E954" s="252"/>
      <c r="F954" s="252"/>
      <c r="G954" s="220"/>
      <c r="H954" s="2" t="s">
        <v>540</v>
      </c>
      <c r="I954" s="9">
        <v>673</v>
      </c>
      <c r="J954" s="11">
        <v>5</v>
      </c>
      <c r="K954" s="11">
        <v>2</v>
      </c>
      <c r="L954" s="57" t="s">
        <v>515</v>
      </c>
      <c r="M954" s="58" t="s">
        <v>220</v>
      </c>
      <c r="N954" s="58" t="s">
        <v>229</v>
      </c>
      <c r="O954" s="58" t="s">
        <v>261</v>
      </c>
      <c r="P954" s="7"/>
      <c r="Q954" s="124">
        <f aca="true" t="shared" si="106" ref="Q954:S956">Q955</f>
        <v>1235</v>
      </c>
      <c r="R954" s="124">
        <f t="shared" si="106"/>
        <v>0</v>
      </c>
      <c r="S954" s="124">
        <f t="shared" si="106"/>
        <v>0</v>
      </c>
    </row>
    <row r="955" spans="1:19" s="221" customFormat="1" ht="18.75">
      <c r="A955" s="61"/>
      <c r="B955" s="226"/>
      <c r="C955" s="61"/>
      <c r="D955" s="250"/>
      <c r="E955" s="252"/>
      <c r="F955" s="252"/>
      <c r="G955" s="220"/>
      <c r="H955" s="2" t="s">
        <v>561</v>
      </c>
      <c r="I955" s="9">
        <v>673</v>
      </c>
      <c r="J955" s="11">
        <v>5</v>
      </c>
      <c r="K955" s="11">
        <v>2</v>
      </c>
      <c r="L955" s="57" t="s">
        <v>515</v>
      </c>
      <c r="M955" s="58" t="s">
        <v>220</v>
      </c>
      <c r="N955" s="58" t="s">
        <v>223</v>
      </c>
      <c r="O955" s="58" t="s">
        <v>261</v>
      </c>
      <c r="P955" s="7"/>
      <c r="Q955" s="124">
        <f t="shared" si="106"/>
        <v>1235</v>
      </c>
      <c r="R955" s="124">
        <f t="shared" si="106"/>
        <v>0</v>
      </c>
      <c r="S955" s="124">
        <f t="shared" si="106"/>
        <v>0</v>
      </c>
    </row>
    <row r="956" spans="1:19" s="221" customFormat="1" ht="18.75">
      <c r="A956" s="61"/>
      <c r="B956" s="226"/>
      <c r="C956" s="61"/>
      <c r="D956" s="250"/>
      <c r="E956" s="252"/>
      <c r="F956" s="252"/>
      <c r="G956" s="220"/>
      <c r="H956" s="2" t="s">
        <v>562</v>
      </c>
      <c r="I956" s="9">
        <v>673</v>
      </c>
      <c r="J956" s="11">
        <v>5</v>
      </c>
      <c r="K956" s="11">
        <v>2</v>
      </c>
      <c r="L956" s="57" t="s">
        <v>515</v>
      </c>
      <c r="M956" s="58" t="s">
        <v>220</v>
      </c>
      <c r="N956" s="58" t="s">
        <v>223</v>
      </c>
      <c r="O956" s="58" t="s">
        <v>519</v>
      </c>
      <c r="P956" s="7"/>
      <c r="Q956" s="124">
        <f t="shared" si="106"/>
        <v>1235</v>
      </c>
      <c r="R956" s="124">
        <f t="shared" si="106"/>
        <v>0</v>
      </c>
      <c r="S956" s="124">
        <f t="shared" si="106"/>
        <v>0</v>
      </c>
    </row>
    <row r="957" spans="1:19" s="221" customFormat="1" ht="18.75">
      <c r="A957" s="61"/>
      <c r="B957" s="226"/>
      <c r="C957" s="61"/>
      <c r="D957" s="250"/>
      <c r="E957" s="252"/>
      <c r="F957" s="252"/>
      <c r="G957" s="220"/>
      <c r="H957" s="2" t="s">
        <v>299</v>
      </c>
      <c r="I957" s="9">
        <v>673</v>
      </c>
      <c r="J957" s="11">
        <v>5</v>
      </c>
      <c r="K957" s="11">
        <v>2</v>
      </c>
      <c r="L957" s="57" t="s">
        <v>515</v>
      </c>
      <c r="M957" s="58" t="s">
        <v>220</v>
      </c>
      <c r="N957" s="58" t="s">
        <v>223</v>
      </c>
      <c r="O957" s="58" t="s">
        <v>519</v>
      </c>
      <c r="P957" s="7">
        <v>240</v>
      </c>
      <c r="Q957" s="124">
        <v>1235</v>
      </c>
      <c r="R957" s="126">
        <v>0</v>
      </c>
      <c r="S957" s="126">
        <v>0</v>
      </c>
    </row>
    <row r="958" spans="1:19" s="221" customFormat="1" ht="18.75">
      <c r="A958" s="61"/>
      <c r="B958" s="226"/>
      <c r="C958" s="61"/>
      <c r="D958" s="250"/>
      <c r="E958" s="252"/>
      <c r="F958" s="252"/>
      <c r="G958" s="220"/>
      <c r="H958" s="255" t="s">
        <v>21</v>
      </c>
      <c r="I958" s="253">
        <v>673</v>
      </c>
      <c r="J958" s="249">
        <v>5</v>
      </c>
      <c r="K958" s="53">
        <v>3</v>
      </c>
      <c r="L958" s="54"/>
      <c r="M958" s="55"/>
      <c r="N958" s="55"/>
      <c r="O958" s="55"/>
      <c r="P958" s="52"/>
      <c r="Q958" s="122">
        <f>Q965+Q959</f>
        <v>7640</v>
      </c>
      <c r="R958" s="122">
        <f>R965+R959</f>
        <v>4242.9</v>
      </c>
      <c r="S958" s="122">
        <f>S965+S959</f>
        <v>3992.9</v>
      </c>
    </row>
    <row r="959" spans="1:19" s="221" customFormat="1" ht="31.5">
      <c r="A959" s="61"/>
      <c r="B959" s="226"/>
      <c r="C959" s="61"/>
      <c r="D959" s="250"/>
      <c r="E959" s="252"/>
      <c r="F959" s="252"/>
      <c r="G959" s="220"/>
      <c r="H959" s="2" t="s">
        <v>522</v>
      </c>
      <c r="I959" s="9">
        <v>673</v>
      </c>
      <c r="J959" s="11">
        <v>5</v>
      </c>
      <c r="K959" s="11">
        <v>3</v>
      </c>
      <c r="L959" s="57" t="s">
        <v>494</v>
      </c>
      <c r="M959" s="58" t="s">
        <v>220</v>
      </c>
      <c r="N959" s="58" t="s">
        <v>229</v>
      </c>
      <c r="O959" s="58" t="s">
        <v>261</v>
      </c>
      <c r="P959" s="52"/>
      <c r="Q959" s="124">
        <f aca="true" t="shared" si="107" ref="Q959:S961">Q960</f>
        <v>3590</v>
      </c>
      <c r="R959" s="124">
        <f t="shared" si="107"/>
        <v>0</v>
      </c>
      <c r="S959" s="124">
        <f t="shared" si="107"/>
        <v>0</v>
      </c>
    </row>
    <row r="960" spans="1:19" s="221" customFormat="1" ht="31.5">
      <c r="A960" s="61"/>
      <c r="B960" s="226"/>
      <c r="C960" s="61"/>
      <c r="D960" s="250"/>
      <c r="E960" s="252"/>
      <c r="F960" s="252"/>
      <c r="G960" s="220"/>
      <c r="H960" s="2" t="s">
        <v>900</v>
      </c>
      <c r="I960" s="9">
        <v>673</v>
      </c>
      <c r="J960" s="11">
        <v>5</v>
      </c>
      <c r="K960" s="11">
        <v>3</v>
      </c>
      <c r="L960" s="57" t="s">
        <v>494</v>
      </c>
      <c r="M960" s="58" t="s">
        <v>220</v>
      </c>
      <c r="N960" s="58" t="s">
        <v>237</v>
      </c>
      <c r="O960" s="58" t="s">
        <v>261</v>
      </c>
      <c r="P960" s="52"/>
      <c r="Q960" s="124">
        <f>Q961+Q963</f>
        <v>3590</v>
      </c>
      <c r="R960" s="124">
        <f>R961+R963</f>
        <v>0</v>
      </c>
      <c r="S960" s="124">
        <f>S961+S963</f>
        <v>0</v>
      </c>
    </row>
    <row r="961" spans="1:19" ht="18.75" hidden="1">
      <c r="A961" s="59"/>
      <c r="B961" s="60"/>
      <c r="C961" s="59"/>
      <c r="D961" s="63"/>
      <c r="E961" s="77"/>
      <c r="F961" s="77"/>
      <c r="G961" s="51"/>
      <c r="H961" s="303" t="s">
        <v>462</v>
      </c>
      <c r="I961" s="9">
        <v>673</v>
      </c>
      <c r="J961" s="4">
        <v>5</v>
      </c>
      <c r="K961" s="11">
        <v>3</v>
      </c>
      <c r="L961" s="57" t="s">
        <v>494</v>
      </c>
      <c r="M961" s="58" t="s">
        <v>220</v>
      </c>
      <c r="N961" s="58" t="s">
        <v>237</v>
      </c>
      <c r="O961" s="58" t="s">
        <v>926</v>
      </c>
      <c r="P961" s="3"/>
      <c r="Q961" s="126">
        <f t="shared" si="107"/>
        <v>0</v>
      </c>
      <c r="R961" s="126">
        <f t="shared" si="107"/>
        <v>0</v>
      </c>
      <c r="S961" s="126">
        <f t="shared" si="107"/>
        <v>0</v>
      </c>
    </row>
    <row r="962" spans="1:19" ht="18.75" hidden="1">
      <c r="A962" s="59"/>
      <c r="B962" s="60"/>
      <c r="C962" s="59"/>
      <c r="D962" s="63"/>
      <c r="E962" s="77"/>
      <c r="F962" s="77"/>
      <c r="G962" s="51"/>
      <c r="H962" s="2" t="s">
        <v>299</v>
      </c>
      <c r="I962" s="9">
        <v>673</v>
      </c>
      <c r="J962" s="4">
        <v>5</v>
      </c>
      <c r="K962" s="11">
        <v>3</v>
      </c>
      <c r="L962" s="57" t="s">
        <v>494</v>
      </c>
      <c r="M962" s="58" t="s">
        <v>220</v>
      </c>
      <c r="N962" s="58" t="s">
        <v>237</v>
      </c>
      <c r="O962" s="58" t="s">
        <v>926</v>
      </c>
      <c r="P962" s="3">
        <v>240</v>
      </c>
      <c r="Q962" s="126">
        <f>1556.8-1556.8</f>
        <v>0</v>
      </c>
      <c r="R962" s="126">
        <v>0</v>
      </c>
      <c r="S962" s="126">
        <v>0</v>
      </c>
    </row>
    <row r="963" spans="1:19" ht="18.75">
      <c r="A963" s="59"/>
      <c r="B963" s="60"/>
      <c r="C963" s="59"/>
      <c r="D963" s="63"/>
      <c r="E963" s="77"/>
      <c r="F963" s="77"/>
      <c r="G963" s="51"/>
      <c r="H963" s="26" t="s">
        <v>462</v>
      </c>
      <c r="I963" s="9">
        <v>673</v>
      </c>
      <c r="J963" s="11">
        <v>5</v>
      </c>
      <c r="K963" s="11">
        <v>3</v>
      </c>
      <c r="L963" s="57" t="s">
        <v>494</v>
      </c>
      <c r="M963" s="58" t="s">
        <v>220</v>
      </c>
      <c r="N963" s="58" t="s">
        <v>237</v>
      </c>
      <c r="O963" s="58" t="s">
        <v>316</v>
      </c>
      <c r="P963" s="3"/>
      <c r="Q963" s="126">
        <f>Q964</f>
        <v>3590</v>
      </c>
      <c r="R963" s="126">
        <f>R964</f>
        <v>0</v>
      </c>
      <c r="S963" s="126">
        <f>S964</f>
        <v>0</v>
      </c>
    </row>
    <row r="964" spans="1:19" ht="18.75">
      <c r="A964" s="59"/>
      <c r="B964" s="60"/>
      <c r="C964" s="59"/>
      <c r="D964" s="63"/>
      <c r="E964" s="77"/>
      <c r="F964" s="77"/>
      <c r="G964" s="51"/>
      <c r="H964" s="2" t="s">
        <v>299</v>
      </c>
      <c r="I964" s="9">
        <v>673</v>
      </c>
      <c r="J964" s="11">
        <v>5</v>
      </c>
      <c r="K964" s="11">
        <v>3</v>
      </c>
      <c r="L964" s="57" t="s">
        <v>494</v>
      </c>
      <c r="M964" s="58" t="s">
        <v>220</v>
      </c>
      <c r="N964" s="58" t="s">
        <v>237</v>
      </c>
      <c r="O964" s="58" t="s">
        <v>316</v>
      </c>
      <c r="P964" s="3">
        <v>240</v>
      </c>
      <c r="Q964" s="126">
        <v>3590</v>
      </c>
      <c r="R964" s="126">
        <v>0</v>
      </c>
      <c r="S964" s="126">
        <v>0</v>
      </c>
    </row>
    <row r="965" spans="1:19" ht="31.5">
      <c r="A965" s="59"/>
      <c r="B965" s="60"/>
      <c r="C965" s="59"/>
      <c r="D965" s="63"/>
      <c r="E965" s="77"/>
      <c r="F965" s="77"/>
      <c r="G965" s="51"/>
      <c r="H965" s="70" t="s">
        <v>567</v>
      </c>
      <c r="I965" s="5">
        <v>673</v>
      </c>
      <c r="J965" s="4">
        <v>5</v>
      </c>
      <c r="K965" s="11">
        <v>3</v>
      </c>
      <c r="L965" s="57" t="s">
        <v>507</v>
      </c>
      <c r="M965" s="58" t="s">
        <v>220</v>
      </c>
      <c r="N965" s="58" t="s">
        <v>229</v>
      </c>
      <c r="O965" s="58" t="s">
        <v>261</v>
      </c>
      <c r="P965" s="3"/>
      <c r="Q965" s="126">
        <f>Q972+Q977+Q966+Q969</f>
        <v>4050</v>
      </c>
      <c r="R965" s="126">
        <f>R972+R977+R966+R969</f>
        <v>4242.9</v>
      </c>
      <c r="S965" s="126">
        <f>S972+S977+S966+S969</f>
        <v>3992.9</v>
      </c>
    </row>
    <row r="966" spans="1:19" ht="31.5">
      <c r="A966" s="59"/>
      <c r="B966" s="60"/>
      <c r="C966" s="59"/>
      <c r="D966" s="63"/>
      <c r="E966" s="77"/>
      <c r="F966" s="77"/>
      <c r="G966" s="51"/>
      <c r="H966" s="2" t="s">
        <v>869</v>
      </c>
      <c r="I966" s="5">
        <v>673</v>
      </c>
      <c r="J966" s="4">
        <v>5</v>
      </c>
      <c r="K966" s="11">
        <v>3</v>
      </c>
      <c r="L966" s="57" t="s">
        <v>507</v>
      </c>
      <c r="M966" s="58" t="s">
        <v>220</v>
      </c>
      <c r="N966" s="58" t="s">
        <v>221</v>
      </c>
      <c r="O966" s="58" t="s">
        <v>261</v>
      </c>
      <c r="P966" s="3"/>
      <c r="Q966" s="126">
        <f aca="true" t="shared" si="108" ref="Q966:S967">Q967</f>
        <v>250</v>
      </c>
      <c r="R966" s="126">
        <f t="shared" si="108"/>
        <v>500</v>
      </c>
      <c r="S966" s="126">
        <f t="shared" si="108"/>
        <v>250</v>
      </c>
    </row>
    <row r="967" spans="1:19" ht="18.75">
      <c r="A967" s="59"/>
      <c r="B967" s="60"/>
      <c r="C967" s="59"/>
      <c r="D967" s="63"/>
      <c r="E967" s="77"/>
      <c r="F967" s="77"/>
      <c r="G967" s="51"/>
      <c r="H967" s="2" t="s">
        <v>872</v>
      </c>
      <c r="I967" s="5">
        <v>673</v>
      </c>
      <c r="J967" s="4">
        <v>5</v>
      </c>
      <c r="K967" s="11">
        <v>3</v>
      </c>
      <c r="L967" s="57" t="s">
        <v>507</v>
      </c>
      <c r="M967" s="58" t="s">
        <v>220</v>
      </c>
      <c r="N967" s="58" t="s">
        <v>221</v>
      </c>
      <c r="O967" s="58" t="s">
        <v>873</v>
      </c>
      <c r="P967" s="3"/>
      <c r="Q967" s="126">
        <f t="shared" si="108"/>
        <v>250</v>
      </c>
      <c r="R967" s="126">
        <f t="shared" si="108"/>
        <v>500</v>
      </c>
      <c r="S967" s="126">
        <f t="shared" si="108"/>
        <v>250</v>
      </c>
    </row>
    <row r="968" spans="1:19" ht="18.75">
      <c r="A968" s="59"/>
      <c r="B968" s="60"/>
      <c r="C968" s="59"/>
      <c r="D968" s="63"/>
      <c r="E968" s="77"/>
      <c r="F968" s="77"/>
      <c r="G968" s="51"/>
      <c r="H968" s="2" t="s">
        <v>299</v>
      </c>
      <c r="I968" s="5">
        <v>673</v>
      </c>
      <c r="J968" s="4">
        <v>5</v>
      </c>
      <c r="K968" s="11">
        <v>3</v>
      </c>
      <c r="L968" s="57" t="s">
        <v>507</v>
      </c>
      <c r="M968" s="58" t="s">
        <v>220</v>
      </c>
      <c r="N968" s="58" t="s">
        <v>221</v>
      </c>
      <c r="O968" s="58" t="s">
        <v>873</v>
      </c>
      <c r="P968" s="3">
        <v>240</v>
      </c>
      <c r="Q968" s="126">
        <v>250</v>
      </c>
      <c r="R968" s="126">
        <v>500</v>
      </c>
      <c r="S968" s="126">
        <v>250</v>
      </c>
    </row>
    <row r="969" spans="1:19" ht="18.75">
      <c r="A969" s="59"/>
      <c r="B969" s="60"/>
      <c r="C969" s="59"/>
      <c r="D969" s="63"/>
      <c r="E969" s="77"/>
      <c r="F969" s="77"/>
      <c r="G969" s="51"/>
      <c r="H969" s="2" t="s">
        <v>961</v>
      </c>
      <c r="I969" s="5">
        <v>673</v>
      </c>
      <c r="J969" s="4">
        <v>5</v>
      </c>
      <c r="K969" s="11">
        <v>3</v>
      </c>
      <c r="L969" s="57" t="s">
        <v>507</v>
      </c>
      <c r="M969" s="58" t="s">
        <v>220</v>
      </c>
      <c r="N969" s="58" t="s">
        <v>236</v>
      </c>
      <c r="O969" s="58" t="s">
        <v>261</v>
      </c>
      <c r="P969" s="3"/>
      <c r="Q969" s="126">
        <f aca="true" t="shared" si="109" ref="Q969:S970">Q970</f>
        <v>0</v>
      </c>
      <c r="R969" s="126">
        <f t="shared" si="109"/>
        <v>1923</v>
      </c>
      <c r="S969" s="126">
        <f t="shared" si="109"/>
        <v>1923</v>
      </c>
    </row>
    <row r="970" spans="1:19" ht="18.75">
      <c r="A970" s="59"/>
      <c r="B970" s="60"/>
      <c r="C970" s="59"/>
      <c r="D970" s="63"/>
      <c r="E970" s="77"/>
      <c r="F970" s="77"/>
      <c r="G970" s="51"/>
      <c r="H970" s="2" t="s">
        <v>877</v>
      </c>
      <c r="I970" s="5">
        <v>673</v>
      </c>
      <c r="J970" s="4">
        <v>5</v>
      </c>
      <c r="K970" s="11">
        <v>3</v>
      </c>
      <c r="L970" s="57" t="s">
        <v>507</v>
      </c>
      <c r="M970" s="58" t="s">
        <v>220</v>
      </c>
      <c r="N970" s="58" t="s">
        <v>236</v>
      </c>
      <c r="O970" s="58" t="s">
        <v>873</v>
      </c>
      <c r="P970" s="3"/>
      <c r="Q970" s="126">
        <f t="shared" si="109"/>
        <v>0</v>
      </c>
      <c r="R970" s="126">
        <f t="shared" si="109"/>
        <v>1923</v>
      </c>
      <c r="S970" s="126">
        <f t="shared" si="109"/>
        <v>1923</v>
      </c>
    </row>
    <row r="971" spans="1:19" ht="18.75">
      <c r="A971" s="59"/>
      <c r="B971" s="60"/>
      <c r="C971" s="59"/>
      <c r="D971" s="63"/>
      <c r="E971" s="77"/>
      <c r="F971" s="77"/>
      <c r="G971" s="51"/>
      <c r="H971" s="2" t="s">
        <v>299</v>
      </c>
      <c r="I971" s="5">
        <v>673</v>
      </c>
      <c r="J971" s="4">
        <v>5</v>
      </c>
      <c r="K971" s="11">
        <v>3</v>
      </c>
      <c r="L971" s="57" t="s">
        <v>507</v>
      </c>
      <c r="M971" s="58" t="s">
        <v>220</v>
      </c>
      <c r="N971" s="58" t="s">
        <v>236</v>
      </c>
      <c r="O971" s="58" t="s">
        <v>873</v>
      </c>
      <c r="P971" s="3">
        <v>240</v>
      </c>
      <c r="Q971" s="126">
        <f>1400-1400</f>
        <v>0</v>
      </c>
      <c r="R971" s="126">
        <v>1923</v>
      </c>
      <c r="S971" s="126">
        <v>1923</v>
      </c>
    </row>
    <row r="972" spans="1:19" ht="18.75">
      <c r="A972" s="59"/>
      <c r="B972" s="60"/>
      <c r="C972" s="59"/>
      <c r="D972" s="63"/>
      <c r="E972" s="77"/>
      <c r="F972" s="77"/>
      <c r="G972" s="51"/>
      <c r="H972" s="2" t="s">
        <v>1092</v>
      </c>
      <c r="I972" s="5">
        <v>673</v>
      </c>
      <c r="J972" s="4">
        <v>5</v>
      </c>
      <c r="K972" s="11">
        <v>3</v>
      </c>
      <c r="L972" s="57" t="s">
        <v>507</v>
      </c>
      <c r="M972" s="58" t="s">
        <v>220</v>
      </c>
      <c r="N972" s="58" t="s">
        <v>237</v>
      </c>
      <c r="O972" s="58" t="s">
        <v>261</v>
      </c>
      <c r="P972" s="3"/>
      <c r="Q972" s="126">
        <f>Q973+Q975</f>
        <v>3695.3</v>
      </c>
      <c r="R972" s="126">
        <f>R973+R975</f>
        <v>1819.9</v>
      </c>
      <c r="S972" s="126">
        <f>S973+S975</f>
        <v>1819.9</v>
      </c>
    </row>
    <row r="973" spans="1:19" ht="18.75">
      <c r="A973" s="59"/>
      <c r="B973" s="60"/>
      <c r="C973" s="59"/>
      <c r="D973" s="63"/>
      <c r="E973" s="77"/>
      <c r="F973" s="77"/>
      <c r="G973" s="51"/>
      <c r="H973" s="70" t="s">
        <v>568</v>
      </c>
      <c r="I973" s="5">
        <v>673</v>
      </c>
      <c r="J973" s="4">
        <v>5</v>
      </c>
      <c r="K973" s="11">
        <v>3</v>
      </c>
      <c r="L973" s="57" t="s">
        <v>507</v>
      </c>
      <c r="M973" s="58" t="s">
        <v>220</v>
      </c>
      <c r="N973" s="58" t="s">
        <v>237</v>
      </c>
      <c r="O973" s="58" t="s">
        <v>508</v>
      </c>
      <c r="P973" s="3"/>
      <c r="Q973" s="126">
        <f>Q974</f>
        <v>1819.9</v>
      </c>
      <c r="R973" s="126">
        <f>R974</f>
        <v>1819.9</v>
      </c>
      <c r="S973" s="126">
        <f>S974</f>
        <v>1819.9</v>
      </c>
    </row>
    <row r="974" spans="1:19" ht="18.75">
      <c r="A974" s="59"/>
      <c r="B974" s="60"/>
      <c r="C974" s="59"/>
      <c r="D974" s="63"/>
      <c r="E974" s="77"/>
      <c r="F974" s="77"/>
      <c r="G974" s="51"/>
      <c r="H974" s="2" t="s">
        <v>299</v>
      </c>
      <c r="I974" s="5">
        <v>673</v>
      </c>
      <c r="J974" s="4">
        <v>5</v>
      </c>
      <c r="K974" s="11">
        <v>3</v>
      </c>
      <c r="L974" s="57" t="s">
        <v>507</v>
      </c>
      <c r="M974" s="58" t="s">
        <v>220</v>
      </c>
      <c r="N974" s="58" t="s">
        <v>237</v>
      </c>
      <c r="O974" s="58" t="s">
        <v>508</v>
      </c>
      <c r="P974" s="3">
        <v>240</v>
      </c>
      <c r="Q974" s="126">
        <v>1819.9</v>
      </c>
      <c r="R974" s="126">
        <v>1819.9</v>
      </c>
      <c r="S974" s="126">
        <v>1819.9</v>
      </c>
    </row>
    <row r="975" spans="1:19" ht="18.75">
      <c r="A975" s="59"/>
      <c r="B975" s="60"/>
      <c r="C975" s="59"/>
      <c r="D975" s="63"/>
      <c r="E975" s="77"/>
      <c r="F975" s="77"/>
      <c r="G975" s="51"/>
      <c r="H975" s="2" t="s">
        <v>1062</v>
      </c>
      <c r="I975" s="5">
        <v>673</v>
      </c>
      <c r="J975" s="4">
        <v>5</v>
      </c>
      <c r="K975" s="11">
        <v>3</v>
      </c>
      <c r="L975" s="57" t="s">
        <v>507</v>
      </c>
      <c r="M975" s="58" t="s">
        <v>220</v>
      </c>
      <c r="N975" s="58" t="s">
        <v>237</v>
      </c>
      <c r="O975" s="58" t="s">
        <v>1061</v>
      </c>
      <c r="P975" s="3"/>
      <c r="Q975" s="126">
        <f>Q976</f>
        <v>1875.3999999999999</v>
      </c>
      <c r="R975" s="126">
        <f>R976</f>
        <v>0</v>
      </c>
      <c r="S975" s="126">
        <f>S976</f>
        <v>0</v>
      </c>
    </row>
    <row r="976" spans="1:19" ht="18.75">
      <c r="A976" s="59"/>
      <c r="B976" s="60"/>
      <c r="C976" s="59"/>
      <c r="D976" s="63"/>
      <c r="E976" s="77"/>
      <c r="F976" s="77"/>
      <c r="G976" s="51"/>
      <c r="H976" s="2" t="s">
        <v>299</v>
      </c>
      <c r="I976" s="5">
        <v>673</v>
      </c>
      <c r="J976" s="4">
        <v>5</v>
      </c>
      <c r="K976" s="11">
        <v>3</v>
      </c>
      <c r="L976" s="57" t="s">
        <v>507</v>
      </c>
      <c r="M976" s="58" t="s">
        <v>220</v>
      </c>
      <c r="N976" s="58" t="s">
        <v>237</v>
      </c>
      <c r="O976" s="58" t="s">
        <v>1061</v>
      </c>
      <c r="P976" s="3">
        <v>240</v>
      </c>
      <c r="Q976" s="126">
        <f>2117.1+65.5-307.2</f>
        <v>1875.3999999999999</v>
      </c>
      <c r="R976" s="126">
        <v>0</v>
      </c>
      <c r="S976" s="126">
        <v>0</v>
      </c>
    </row>
    <row r="977" spans="1:19" ht="31.5">
      <c r="A977" s="59"/>
      <c r="B977" s="60"/>
      <c r="C977" s="59"/>
      <c r="D977" s="63"/>
      <c r="E977" s="77"/>
      <c r="F977" s="77"/>
      <c r="G977" s="51"/>
      <c r="H977" s="70" t="s">
        <v>588</v>
      </c>
      <c r="I977" s="5">
        <v>673</v>
      </c>
      <c r="J977" s="4">
        <v>5</v>
      </c>
      <c r="K977" s="11">
        <v>3</v>
      </c>
      <c r="L977" s="57" t="s">
        <v>507</v>
      </c>
      <c r="M977" s="58" t="s">
        <v>220</v>
      </c>
      <c r="N977" s="58" t="s">
        <v>232</v>
      </c>
      <c r="O977" s="58" t="s">
        <v>261</v>
      </c>
      <c r="P977" s="3"/>
      <c r="Q977" s="126">
        <f aca="true" t="shared" si="110" ref="Q977:S978">Q978</f>
        <v>104.7</v>
      </c>
      <c r="R977" s="126">
        <f t="shared" si="110"/>
        <v>0</v>
      </c>
      <c r="S977" s="126">
        <f t="shared" si="110"/>
        <v>0</v>
      </c>
    </row>
    <row r="978" spans="1:19" ht="31.5">
      <c r="A978" s="59"/>
      <c r="B978" s="60"/>
      <c r="C978" s="59"/>
      <c r="D978" s="63"/>
      <c r="E978" s="77"/>
      <c r="F978" s="77"/>
      <c r="G978" s="51"/>
      <c r="H978" s="70" t="s">
        <v>589</v>
      </c>
      <c r="I978" s="5">
        <v>673</v>
      </c>
      <c r="J978" s="4">
        <v>5</v>
      </c>
      <c r="K978" s="11">
        <v>3</v>
      </c>
      <c r="L978" s="57" t="s">
        <v>507</v>
      </c>
      <c r="M978" s="58" t="s">
        <v>220</v>
      </c>
      <c r="N978" s="58" t="s">
        <v>232</v>
      </c>
      <c r="O978" s="58" t="s">
        <v>514</v>
      </c>
      <c r="P978" s="3"/>
      <c r="Q978" s="126">
        <f t="shared" si="110"/>
        <v>104.7</v>
      </c>
      <c r="R978" s="126">
        <f t="shared" si="110"/>
        <v>0</v>
      </c>
      <c r="S978" s="126">
        <f t="shared" si="110"/>
        <v>0</v>
      </c>
    </row>
    <row r="979" spans="1:19" ht="18.75">
      <c r="A979" s="59"/>
      <c r="B979" s="60"/>
      <c r="C979" s="59"/>
      <c r="D979" s="63"/>
      <c r="E979" s="77"/>
      <c r="F979" s="77"/>
      <c r="G979" s="51"/>
      <c r="H979" s="2" t="s">
        <v>299</v>
      </c>
      <c r="I979" s="5">
        <v>673</v>
      </c>
      <c r="J979" s="4">
        <v>5</v>
      </c>
      <c r="K979" s="11">
        <v>3</v>
      </c>
      <c r="L979" s="57" t="s">
        <v>507</v>
      </c>
      <c r="M979" s="58" t="s">
        <v>220</v>
      </c>
      <c r="N979" s="58" t="s">
        <v>232</v>
      </c>
      <c r="O979" s="58" t="s">
        <v>514</v>
      </c>
      <c r="P979" s="3">
        <v>240</v>
      </c>
      <c r="Q979" s="126">
        <v>104.7</v>
      </c>
      <c r="R979" s="126">
        <v>0</v>
      </c>
      <c r="S979" s="126">
        <v>0</v>
      </c>
    </row>
    <row r="980" spans="1:19" s="113" customFormat="1" ht="19.5">
      <c r="A980" s="89"/>
      <c r="B980" s="90"/>
      <c r="C980" s="89"/>
      <c r="D980" s="97"/>
      <c r="E980" s="98"/>
      <c r="F980" s="98"/>
      <c r="G980" s="84"/>
      <c r="H980" s="354" t="s">
        <v>263</v>
      </c>
      <c r="I980" s="99">
        <v>673</v>
      </c>
      <c r="J980" s="95">
        <v>5</v>
      </c>
      <c r="K980" s="86">
        <v>5</v>
      </c>
      <c r="L980" s="87"/>
      <c r="M980" s="88"/>
      <c r="N980" s="88"/>
      <c r="O980" s="88"/>
      <c r="P980" s="93"/>
      <c r="Q980" s="127">
        <f>Q981+Q988</f>
        <v>225.89999999999998</v>
      </c>
      <c r="R980" s="127">
        <f>R981+R988</f>
        <v>0</v>
      </c>
      <c r="S980" s="127">
        <f>S981+S988</f>
        <v>0</v>
      </c>
    </row>
    <row r="981" spans="1:19" ht="31.5">
      <c r="A981" s="59"/>
      <c r="B981" s="60"/>
      <c r="C981" s="76"/>
      <c r="D981" s="69"/>
      <c r="E981" s="64"/>
      <c r="F981" s="64"/>
      <c r="G981" s="51"/>
      <c r="H981" s="2" t="s">
        <v>522</v>
      </c>
      <c r="I981" s="9">
        <v>673</v>
      </c>
      <c r="J981" s="11">
        <v>5</v>
      </c>
      <c r="K981" s="11">
        <v>5</v>
      </c>
      <c r="L981" s="57" t="s">
        <v>494</v>
      </c>
      <c r="M981" s="58" t="s">
        <v>220</v>
      </c>
      <c r="N981" s="58" t="s">
        <v>229</v>
      </c>
      <c r="O981" s="58" t="s">
        <v>261</v>
      </c>
      <c r="P981" s="3"/>
      <c r="Q981" s="126">
        <f>Q982</f>
        <v>154.2</v>
      </c>
      <c r="R981" s="126">
        <f>R982</f>
        <v>0</v>
      </c>
      <c r="S981" s="126">
        <f>S982</f>
        <v>0</v>
      </c>
    </row>
    <row r="982" spans="1:19" ht="31.5">
      <c r="A982" s="59"/>
      <c r="B982" s="60"/>
      <c r="C982" s="76"/>
      <c r="D982" s="73"/>
      <c r="E982" s="76"/>
      <c r="F982" s="76"/>
      <c r="G982" s="51"/>
      <c r="H982" s="2" t="s">
        <v>903</v>
      </c>
      <c r="I982" s="9">
        <v>673</v>
      </c>
      <c r="J982" s="11">
        <v>5</v>
      </c>
      <c r="K982" s="11">
        <v>5</v>
      </c>
      <c r="L982" s="57" t="s">
        <v>494</v>
      </c>
      <c r="M982" s="58" t="s">
        <v>220</v>
      </c>
      <c r="N982" s="58" t="s">
        <v>237</v>
      </c>
      <c r="O982" s="58" t="s">
        <v>261</v>
      </c>
      <c r="P982" s="7"/>
      <c r="Q982" s="124">
        <f>Q983+Q986</f>
        <v>154.2</v>
      </c>
      <c r="R982" s="124">
        <f>R983+R986</f>
        <v>0</v>
      </c>
      <c r="S982" s="124">
        <f>S983+S986</f>
        <v>0</v>
      </c>
    </row>
    <row r="983" spans="1:19" ht="47.25">
      <c r="A983" s="59"/>
      <c r="B983" s="60"/>
      <c r="C983" s="76"/>
      <c r="D983" s="73"/>
      <c r="E983" s="76"/>
      <c r="F983" s="76"/>
      <c r="G983" s="51"/>
      <c r="H983" s="2" t="s">
        <v>570</v>
      </c>
      <c r="I983" s="9">
        <v>673</v>
      </c>
      <c r="J983" s="11">
        <v>5</v>
      </c>
      <c r="K983" s="11">
        <v>5</v>
      </c>
      <c r="L983" s="57" t="s">
        <v>494</v>
      </c>
      <c r="M983" s="58" t="s">
        <v>220</v>
      </c>
      <c r="N983" s="58" t="s">
        <v>237</v>
      </c>
      <c r="O983" s="58" t="s">
        <v>267</v>
      </c>
      <c r="P983" s="7"/>
      <c r="Q983" s="124">
        <f>Q984+Q985</f>
        <v>28.400000000000002</v>
      </c>
      <c r="R983" s="124">
        <f>R984+R985</f>
        <v>0</v>
      </c>
      <c r="S983" s="124">
        <f>S984+S985</f>
        <v>0</v>
      </c>
    </row>
    <row r="984" spans="1:19" ht="18.75">
      <c r="A984" s="59"/>
      <c r="B984" s="60"/>
      <c r="C984" s="76"/>
      <c r="D984" s="73"/>
      <c r="E984" s="76"/>
      <c r="F984" s="76"/>
      <c r="G984" s="51"/>
      <c r="H984" s="2" t="s">
        <v>299</v>
      </c>
      <c r="I984" s="9">
        <v>673</v>
      </c>
      <c r="J984" s="11">
        <v>5</v>
      </c>
      <c r="K984" s="11">
        <v>5</v>
      </c>
      <c r="L984" s="57" t="s">
        <v>494</v>
      </c>
      <c r="M984" s="58" t="s">
        <v>220</v>
      </c>
      <c r="N984" s="58" t="s">
        <v>237</v>
      </c>
      <c r="O984" s="58" t="s">
        <v>267</v>
      </c>
      <c r="P984" s="7">
        <v>240</v>
      </c>
      <c r="Q984" s="124">
        <f>9.8+1.3+17</f>
        <v>28.1</v>
      </c>
      <c r="R984" s="130">
        <v>0</v>
      </c>
      <c r="S984" s="130">
        <v>0</v>
      </c>
    </row>
    <row r="985" spans="1:19" ht="18.75">
      <c r="A985" s="59"/>
      <c r="B985" s="60"/>
      <c r="C985" s="76"/>
      <c r="D985" s="73"/>
      <c r="E985" s="76"/>
      <c r="F985" s="76"/>
      <c r="G985" s="51"/>
      <c r="H985" s="2" t="s">
        <v>300</v>
      </c>
      <c r="I985" s="9">
        <v>673</v>
      </c>
      <c r="J985" s="11">
        <v>5</v>
      </c>
      <c r="K985" s="11">
        <v>5</v>
      </c>
      <c r="L985" s="57" t="s">
        <v>494</v>
      </c>
      <c r="M985" s="58" t="s">
        <v>220</v>
      </c>
      <c r="N985" s="58" t="s">
        <v>237</v>
      </c>
      <c r="O985" s="58" t="s">
        <v>267</v>
      </c>
      <c r="P985" s="7">
        <v>850</v>
      </c>
      <c r="Q985" s="124">
        <v>0.3</v>
      </c>
      <c r="R985" s="130">
        <v>0</v>
      </c>
      <c r="S985" s="130">
        <v>0</v>
      </c>
    </row>
    <row r="986" spans="1:19" ht="18.75">
      <c r="A986" s="59"/>
      <c r="B986" s="60"/>
      <c r="C986" s="76"/>
      <c r="D986" s="73"/>
      <c r="E986" s="76"/>
      <c r="F986" s="76"/>
      <c r="G986" s="51"/>
      <c r="H986" s="2" t="s">
        <v>548</v>
      </c>
      <c r="I986" s="9">
        <v>673</v>
      </c>
      <c r="J986" s="11">
        <v>5</v>
      </c>
      <c r="K986" s="11">
        <v>5</v>
      </c>
      <c r="L986" s="57" t="s">
        <v>494</v>
      </c>
      <c r="M986" s="58" t="s">
        <v>220</v>
      </c>
      <c r="N986" s="58" t="s">
        <v>237</v>
      </c>
      <c r="O986" s="58" t="s">
        <v>70</v>
      </c>
      <c r="P986" s="7"/>
      <c r="Q986" s="124">
        <f>Q987</f>
        <v>125.8</v>
      </c>
      <c r="R986" s="124">
        <f>R987</f>
        <v>0</v>
      </c>
      <c r="S986" s="124">
        <f>S987</f>
        <v>0</v>
      </c>
    </row>
    <row r="987" spans="1:19" ht="18.75">
      <c r="A987" s="59"/>
      <c r="B987" s="60"/>
      <c r="C987" s="76"/>
      <c r="D987" s="73"/>
      <c r="E987" s="76"/>
      <c r="F987" s="76"/>
      <c r="G987" s="51"/>
      <c r="H987" s="2" t="s">
        <v>299</v>
      </c>
      <c r="I987" s="9">
        <v>673</v>
      </c>
      <c r="J987" s="11">
        <v>5</v>
      </c>
      <c r="K987" s="11">
        <v>5</v>
      </c>
      <c r="L987" s="57" t="s">
        <v>494</v>
      </c>
      <c r="M987" s="58" t="s">
        <v>220</v>
      </c>
      <c r="N987" s="58" t="s">
        <v>237</v>
      </c>
      <c r="O987" s="58" t="s">
        <v>70</v>
      </c>
      <c r="P987" s="7">
        <v>240</v>
      </c>
      <c r="Q987" s="124">
        <v>125.8</v>
      </c>
      <c r="R987" s="130">
        <v>0</v>
      </c>
      <c r="S987" s="130">
        <v>0</v>
      </c>
    </row>
    <row r="988" spans="1:19" ht="31.5">
      <c r="A988" s="59"/>
      <c r="B988" s="60"/>
      <c r="C988" s="76"/>
      <c r="D988" s="73"/>
      <c r="E988" s="76"/>
      <c r="F988" s="76"/>
      <c r="G988" s="51"/>
      <c r="H988" s="2" t="s">
        <v>540</v>
      </c>
      <c r="I988" s="9">
        <v>673</v>
      </c>
      <c r="J988" s="4">
        <v>5</v>
      </c>
      <c r="K988" s="11">
        <v>5</v>
      </c>
      <c r="L988" s="57" t="s">
        <v>515</v>
      </c>
      <c r="M988" s="58" t="s">
        <v>220</v>
      </c>
      <c r="N988" s="58" t="s">
        <v>229</v>
      </c>
      <c r="O988" s="58" t="s">
        <v>261</v>
      </c>
      <c r="P988" s="7"/>
      <c r="Q988" s="124">
        <f>Q989</f>
        <v>71.7</v>
      </c>
      <c r="R988" s="124">
        <f aca="true" t="shared" si="111" ref="R988:S990">R989</f>
        <v>0</v>
      </c>
      <c r="S988" s="124">
        <f t="shared" si="111"/>
        <v>0</v>
      </c>
    </row>
    <row r="989" spans="1:19" ht="47.25">
      <c r="A989" s="59"/>
      <c r="B989" s="60"/>
      <c r="C989" s="76"/>
      <c r="D989" s="73"/>
      <c r="E989" s="76"/>
      <c r="F989" s="76"/>
      <c r="G989" s="51"/>
      <c r="H989" s="2" t="s">
        <v>847</v>
      </c>
      <c r="I989" s="9">
        <v>673</v>
      </c>
      <c r="J989" s="4">
        <v>5</v>
      </c>
      <c r="K989" s="11">
        <v>5</v>
      </c>
      <c r="L989" s="57" t="s">
        <v>515</v>
      </c>
      <c r="M989" s="58" t="s">
        <v>220</v>
      </c>
      <c r="N989" s="58" t="s">
        <v>221</v>
      </c>
      <c r="O989" s="58" t="s">
        <v>261</v>
      </c>
      <c r="P989" s="7"/>
      <c r="Q989" s="124">
        <f>Q990</f>
        <v>71.7</v>
      </c>
      <c r="R989" s="124">
        <f t="shared" si="111"/>
        <v>0</v>
      </c>
      <c r="S989" s="124">
        <f t="shared" si="111"/>
        <v>0</v>
      </c>
    </row>
    <row r="990" spans="1:19" ht="31.5">
      <c r="A990" s="59"/>
      <c r="B990" s="60"/>
      <c r="C990" s="76"/>
      <c r="D990" s="73"/>
      <c r="E990" s="76"/>
      <c r="F990" s="76"/>
      <c r="G990" s="51"/>
      <c r="H990" s="2" t="s">
        <v>572</v>
      </c>
      <c r="I990" s="9">
        <v>673</v>
      </c>
      <c r="J990" s="4">
        <v>5</v>
      </c>
      <c r="K990" s="11">
        <v>5</v>
      </c>
      <c r="L990" s="57" t="s">
        <v>515</v>
      </c>
      <c r="M990" s="58" t="s">
        <v>220</v>
      </c>
      <c r="N990" s="58" t="s">
        <v>221</v>
      </c>
      <c r="O990" s="58" t="s">
        <v>10</v>
      </c>
      <c r="P990" s="7"/>
      <c r="Q990" s="124">
        <f>Q991+Q992</f>
        <v>71.7</v>
      </c>
      <c r="R990" s="124">
        <f t="shared" si="111"/>
        <v>0</v>
      </c>
      <c r="S990" s="124">
        <f t="shared" si="111"/>
        <v>0</v>
      </c>
    </row>
    <row r="991" spans="1:19" ht="18.75">
      <c r="A991" s="59"/>
      <c r="B991" s="60"/>
      <c r="C991" s="76"/>
      <c r="D991" s="73"/>
      <c r="E991" s="76"/>
      <c r="F991" s="76"/>
      <c r="G991" s="51"/>
      <c r="H991" s="2" t="s">
        <v>299</v>
      </c>
      <c r="I991" s="9">
        <v>673</v>
      </c>
      <c r="J991" s="4">
        <v>5</v>
      </c>
      <c r="K991" s="11">
        <v>5</v>
      </c>
      <c r="L991" s="57" t="s">
        <v>515</v>
      </c>
      <c r="M991" s="58" t="s">
        <v>220</v>
      </c>
      <c r="N991" s="58" t="s">
        <v>221</v>
      </c>
      <c r="O991" s="58" t="s">
        <v>10</v>
      </c>
      <c r="P991" s="7">
        <v>240</v>
      </c>
      <c r="Q991" s="124">
        <f>25+45</f>
        <v>70</v>
      </c>
      <c r="R991" s="130">
        <v>0</v>
      </c>
      <c r="S991" s="130">
        <v>0</v>
      </c>
    </row>
    <row r="992" spans="1:19" ht="18.75">
      <c r="A992" s="59"/>
      <c r="B992" s="60"/>
      <c r="C992" s="76"/>
      <c r="D992" s="73"/>
      <c r="E992" s="76"/>
      <c r="F992" s="76"/>
      <c r="G992" s="51"/>
      <c r="H992" s="2" t="s">
        <v>300</v>
      </c>
      <c r="I992" s="5">
        <v>673</v>
      </c>
      <c r="J992" s="4">
        <v>5</v>
      </c>
      <c r="K992" s="11">
        <v>5</v>
      </c>
      <c r="L992" s="57" t="s">
        <v>515</v>
      </c>
      <c r="M992" s="58" t="s">
        <v>220</v>
      </c>
      <c r="N992" s="58" t="s">
        <v>221</v>
      </c>
      <c r="O992" s="58" t="s">
        <v>10</v>
      </c>
      <c r="P992" s="3">
        <v>850</v>
      </c>
      <c r="Q992" s="126">
        <f>1.7</f>
        <v>1.7</v>
      </c>
      <c r="R992" s="130">
        <v>0</v>
      </c>
      <c r="S992" s="130">
        <v>0</v>
      </c>
    </row>
    <row r="993" spans="1:19" s="113" customFormat="1" ht="19.5" hidden="1">
      <c r="A993" s="89"/>
      <c r="B993" s="90"/>
      <c r="C993" s="106"/>
      <c r="D993" s="128"/>
      <c r="E993" s="106"/>
      <c r="F993" s="106"/>
      <c r="G993" s="84"/>
      <c r="H993" s="227" t="s">
        <v>245</v>
      </c>
      <c r="I993" s="251">
        <v>673</v>
      </c>
      <c r="J993" s="86">
        <v>6</v>
      </c>
      <c r="K993" s="86" t="s">
        <v>262</v>
      </c>
      <c r="L993" s="87"/>
      <c r="M993" s="88"/>
      <c r="N993" s="88"/>
      <c r="O993" s="88"/>
      <c r="P993" s="93"/>
      <c r="Q993" s="127">
        <f>Q994</f>
        <v>0</v>
      </c>
      <c r="R993" s="127">
        <f>R994</f>
        <v>0</v>
      </c>
      <c r="S993" s="127">
        <f>S994</f>
        <v>0</v>
      </c>
    </row>
    <row r="994" spans="1:19" s="113" customFormat="1" ht="19.5" hidden="1">
      <c r="A994" s="89"/>
      <c r="B994" s="90"/>
      <c r="C994" s="106"/>
      <c r="D994" s="128"/>
      <c r="E994" s="106"/>
      <c r="F994" s="106"/>
      <c r="G994" s="84"/>
      <c r="H994" s="225" t="s">
        <v>211</v>
      </c>
      <c r="I994" s="251">
        <v>673</v>
      </c>
      <c r="J994" s="86">
        <v>6</v>
      </c>
      <c r="K994" s="86">
        <v>5</v>
      </c>
      <c r="L994" s="87"/>
      <c r="M994" s="88"/>
      <c r="N994" s="88"/>
      <c r="O994" s="88"/>
      <c r="P994" s="93"/>
      <c r="Q994" s="127">
        <f>Q995</f>
        <v>0</v>
      </c>
      <c r="R994" s="127">
        <f aca="true" t="shared" si="112" ref="R994:S997">R995</f>
        <v>0</v>
      </c>
      <c r="S994" s="127">
        <f t="shared" si="112"/>
        <v>0</v>
      </c>
    </row>
    <row r="995" spans="1:19" ht="31.5" hidden="1">
      <c r="A995" s="59"/>
      <c r="B995" s="60"/>
      <c r="C995" s="76"/>
      <c r="D995" s="73"/>
      <c r="E995" s="76"/>
      <c r="F995" s="76"/>
      <c r="G995" s="51"/>
      <c r="H995" s="2" t="s">
        <v>522</v>
      </c>
      <c r="I995" s="5">
        <v>673</v>
      </c>
      <c r="J995" s="13">
        <v>6</v>
      </c>
      <c r="K995" s="11">
        <v>5</v>
      </c>
      <c r="L995" s="57" t="s">
        <v>494</v>
      </c>
      <c r="M995" s="58" t="s">
        <v>220</v>
      </c>
      <c r="N995" s="58" t="s">
        <v>229</v>
      </c>
      <c r="O995" s="58" t="s">
        <v>261</v>
      </c>
      <c r="P995" s="3"/>
      <c r="Q995" s="126">
        <f>Q996</f>
        <v>0</v>
      </c>
      <c r="R995" s="126">
        <f t="shared" si="112"/>
        <v>0</v>
      </c>
      <c r="S995" s="126">
        <f t="shared" si="112"/>
        <v>0</v>
      </c>
    </row>
    <row r="996" spans="1:19" ht="31.5" hidden="1">
      <c r="A996" s="59"/>
      <c r="B996" s="60"/>
      <c r="C996" s="76"/>
      <c r="D996" s="73"/>
      <c r="E996" s="76"/>
      <c r="F996" s="76"/>
      <c r="G996" s="51"/>
      <c r="H996" s="2" t="s">
        <v>903</v>
      </c>
      <c r="I996" s="5">
        <v>673</v>
      </c>
      <c r="J996" s="13">
        <v>6</v>
      </c>
      <c r="K996" s="11">
        <v>5</v>
      </c>
      <c r="L996" s="57" t="s">
        <v>494</v>
      </c>
      <c r="M996" s="58" t="s">
        <v>220</v>
      </c>
      <c r="N996" s="58" t="s">
        <v>237</v>
      </c>
      <c r="O996" s="58" t="s">
        <v>261</v>
      </c>
      <c r="P996" s="3"/>
      <c r="Q996" s="126">
        <f>Q997</f>
        <v>0</v>
      </c>
      <c r="R996" s="126">
        <f t="shared" si="112"/>
        <v>0</v>
      </c>
      <c r="S996" s="126">
        <f t="shared" si="112"/>
        <v>0</v>
      </c>
    </row>
    <row r="997" spans="1:19" ht="18.75" hidden="1">
      <c r="A997" s="59"/>
      <c r="B997" s="60"/>
      <c r="C997" s="76"/>
      <c r="D997" s="73"/>
      <c r="E997" s="76"/>
      <c r="F997" s="76"/>
      <c r="G997" s="51"/>
      <c r="H997" s="303" t="s">
        <v>211</v>
      </c>
      <c r="I997" s="5">
        <v>673</v>
      </c>
      <c r="J997" s="13">
        <v>6</v>
      </c>
      <c r="K997" s="11">
        <v>5</v>
      </c>
      <c r="L997" s="57" t="s">
        <v>494</v>
      </c>
      <c r="M997" s="58" t="s">
        <v>220</v>
      </c>
      <c r="N997" s="58" t="s">
        <v>237</v>
      </c>
      <c r="O997" s="58" t="s">
        <v>434</v>
      </c>
      <c r="P997" s="3"/>
      <c r="Q997" s="126">
        <f>Q998</f>
        <v>0</v>
      </c>
      <c r="R997" s="126">
        <f t="shared" si="112"/>
        <v>0</v>
      </c>
      <c r="S997" s="126">
        <f t="shared" si="112"/>
        <v>0</v>
      </c>
    </row>
    <row r="998" spans="1:19" ht="18.75" hidden="1">
      <c r="A998" s="59"/>
      <c r="B998" s="60"/>
      <c r="C998" s="76"/>
      <c r="D998" s="73"/>
      <c r="E998" s="76"/>
      <c r="F998" s="76"/>
      <c r="G998" s="51"/>
      <c r="H998" s="2" t="s">
        <v>300</v>
      </c>
      <c r="I998" s="5">
        <v>673</v>
      </c>
      <c r="J998" s="13">
        <v>6</v>
      </c>
      <c r="K998" s="11">
        <v>5</v>
      </c>
      <c r="L998" s="57" t="s">
        <v>494</v>
      </c>
      <c r="M998" s="58" t="s">
        <v>220</v>
      </c>
      <c r="N998" s="58" t="s">
        <v>237</v>
      </c>
      <c r="O998" s="58" t="s">
        <v>434</v>
      </c>
      <c r="P998" s="3">
        <v>850</v>
      </c>
      <c r="Q998" s="126"/>
      <c r="R998" s="130"/>
      <c r="S998" s="130"/>
    </row>
    <row r="999" spans="1:19" s="113" customFormat="1" ht="19.5" hidden="1">
      <c r="A999" s="89"/>
      <c r="B999" s="90"/>
      <c r="C999" s="106"/>
      <c r="D999" s="128"/>
      <c r="E999" s="106"/>
      <c r="F999" s="106"/>
      <c r="G999" s="84"/>
      <c r="H999" s="227" t="s">
        <v>248</v>
      </c>
      <c r="I999" s="357" t="s">
        <v>592</v>
      </c>
      <c r="J999" s="88" t="s">
        <v>230</v>
      </c>
      <c r="K999" s="87" t="s">
        <v>262</v>
      </c>
      <c r="L999" s="87"/>
      <c r="M999" s="88"/>
      <c r="N999" s="88"/>
      <c r="O999" s="88"/>
      <c r="P999" s="258"/>
      <c r="Q999" s="127">
        <v>0</v>
      </c>
      <c r="R999" s="127">
        <f aca="true" t="shared" si="113" ref="R999:S1002">R1000</f>
        <v>0</v>
      </c>
      <c r="S999" s="127">
        <f t="shared" si="113"/>
        <v>0</v>
      </c>
    </row>
    <row r="1000" spans="1:19" s="113" customFormat="1" ht="19.5" hidden="1">
      <c r="A1000" s="89"/>
      <c r="B1000" s="90"/>
      <c r="C1000" s="106"/>
      <c r="D1000" s="128"/>
      <c r="E1000" s="106"/>
      <c r="F1000" s="106"/>
      <c r="G1000" s="84"/>
      <c r="H1000" s="225" t="s">
        <v>81</v>
      </c>
      <c r="I1000" s="357" t="s">
        <v>592</v>
      </c>
      <c r="J1000" s="88" t="s">
        <v>230</v>
      </c>
      <c r="K1000" s="87" t="s">
        <v>221</v>
      </c>
      <c r="L1000" s="87"/>
      <c r="M1000" s="88"/>
      <c r="N1000" s="88"/>
      <c r="O1000" s="88"/>
      <c r="P1000" s="258"/>
      <c r="Q1000" s="127">
        <v>0</v>
      </c>
      <c r="R1000" s="127">
        <f t="shared" si="113"/>
        <v>0</v>
      </c>
      <c r="S1000" s="127">
        <f t="shared" si="113"/>
        <v>0</v>
      </c>
    </row>
    <row r="1001" spans="1:19" ht="31.5" hidden="1">
      <c r="A1001" s="59"/>
      <c r="B1001" s="60"/>
      <c r="C1001" s="76"/>
      <c r="D1001" s="73"/>
      <c r="E1001" s="76"/>
      <c r="F1001" s="76"/>
      <c r="G1001" s="51"/>
      <c r="H1001" s="2" t="s">
        <v>522</v>
      </c>
      <c r="I1001" s="358" t="s">
        <v>592</v>
      </c>
      <c r="J1001" s="58" t="s">
        <v>230</v>
      </c>
      <c r="K1001" s="57" t="s">
        <v>221</v>
      </c>
      <c r="L1001" s="57" t="s">
        <v>494</v>
      </c>
      <c r="M1001" s="58" t="s">
        <v>220</v>
      </c>
      <c r="N1001" s="58" t="s">
        <v>229</v>
      </c>
      <c r="O1001" s="58" t="s">
        <v>261</v>
      </c>
      <c r="P1001" s="257"/>
      <c r="Q1001" s="126">
        <v>0</v>
      </c>
      <c r="R1001" s="126">
        <f t="shared" si="113"/>
        <v>0</v>
      </c>
      <c r="S1001" s="126">
        <f t="shared" si="113"/>
        <v>0</v>
      </c>
    </row>
    <row r="1002" spans="1:19" ht="31.5" hidden="1">
      <c r="A1002" s="59"/>
      <c r="B1002" s="60"/>
      <c r="C1002" s="76"/>
      <c r="D1002" s="73"/>
      <c r="E1002" s="76"/>
      <c r="F1002" s="76"/>
      <c r="G1002" s="51"/>
      <c r="H1002" s="2" t="s">
        <v>903</v>
      </c>
      <c r="I1002" s="358" t="s">
        <v>592</v>
      </c>
      <c r="J1002" s="58" t="s">
        <v>230</v>
      </c>
      <c r="K1002" s="57" t="s">
        <v>221</v>
      </c>
      <c r="L1002" s="57" t="s">
        <v>494</v>
      </c>
      <c r="M1002" s="58" t="s">
        <v>220</v>
      </c>
      <c r="N1002" s="58" t="s">
        <v>237</v>
      </c>
      <c r="O1002" s="58" t="s">
        <v>261</v>
      </c>
      <c r="P1002" s="257"/>
      <c r="Q1002" s="126">
        <v>0</v>
      </c>
      <c r="R1002" s="126">
        <f t="shared" si="113"/>
        <v>0</v>
      </c>
      <c r="S1002" s="126">
        <f t="shared" si="113"/>
        <v>0</v>
      </c>
    </row>
    <row r="1003" spans="1:19" ht="18.75" hidden="1">
      <c r="A1003" s="59"/>
      <c r="B1003" s="60"/>
      <c r="C1003" s="59"/>
      <c r="D1003" s="63"/>
      <c r="E1003" s="77"/>
      <c r="F1003" s="77"/>
      <c r="G1003" s="51"/>
      <c r="H1003" s="70" t="s">
        <v>556</v>
      </c>
      <c r="I1003" s="5">
        <v>673</v>
      </c>
      <c r="J1003" s="4">
        <v>10</v>
      </c>
      <c r="K1003" s="11">
        <v>1</v>
      </c>
      <c r="L1003" s="57" t="s">
        <v>494</v>
      </c>
      <c r="M1003" s="58" t="s">
        <v>220</v>
      </c>
      <c r="N1003" s="58" t="s">
        <v>237</v>
      </c>
      <c r="O1003" s="58" t="s">
        <v>37</v>
      </c>
      <c r="P1003" s="3"/>
      <c r="Q1003" s="126">
        <v>0</v>
      </c>
      <c r="R1003" s="126">
        <f>R1004</f>
        <v>0</v>
      </c>
      <c r="S1003" s="126">
        <f>S1004</f>
        <v>0</v>
      </c>
    </row>
    <row r="1004" spans="1:19" ht="18.75" hidden="1">
      <c r="A1004" s="59"/>
      <c r="B1004" s="60"/>
      <c r="C1004" s="59"/>
      <c r="D1004" s="63"/>
      <c r="E1004" s="77"/>
      <c r="F1004" s="77"/>
      <c r="G1004" s="51"/>
      <c r="H1004" s="26" t="s">
        <v>303</v>
      </c>
      <c r="I1004" s="5">
        <v>673</v>
      </c>
      <c r="J1004" s="4">
        <v>10</v>
      </c>
      <c r="K1004" s="11">
        <v>1</v>
      </c>
      <c r="L1004" s="57" t="s">
        <v>494</v>
      </c>
      <c r="M1004" s="58" t="s">
        <v>220</v>
      </c>
      <c r="N1004" s="58" t="s">
        <v>237</v>
      </c>
      <c r="O1004" s="58" t="s">
        <v>37</v>
      </c>
      <c r="P1004" s="3">
        <v>310</v>
      </c>
      <c r="Q1004" s="126"/>
      <c r="R1004" s="126"/>
      <c r="S1004" s="126"/>
    </row>
    <row r="1005" spans="1:19" s="111" customFormat="1" ht="16.5">
      <c r="A1005" s="105"/>
      <c r="B1005" s="114"/>
      <c r="C1005" s="105"/>
      <c r="D1005" s="115"/>
      <c r="E1005" s="214"/>
      <c r="F1005" s="214"/>
      <c r="G1005" s="116"/>
      <c r="H1005" s="215" t="s">
        <v>493</v>
      </c>
      <c r="I1005" s="212">
        <v>674</v>
      </c>
      <c r="J1005" s="216"/>
      <c r="K1005" s="10"/>
      <c r="L1005" s="81"/>
      <c r="M1005" s="82"/>
      <c r="N1005" s="82"/>
      <c r="O1005" s="82"/>
      <c r="P1005" s="18"/>
      <c r="Q1005" s="213">
        <f>Q1006+Q1034+Q1040+Q1090+Q1021+Q1027+Q1084</f>
        <v>32735.8</v>
      </c>
      <c r="R1005" s="213">
        <f>R1006+R1034+R1040+R1090+R1021+R1027+R1084</f>
        <v>16356.7</v>
      </c>
      <c r="S1005" s="213">
        <f>S1006+S1034+S1040+S1090+S1021+S1027+S1084</f>
        <v>15880.3</v>
      </c>
    </row>
    <row r="1006" spans="1:19" s="113" customFormat="1" ht="19.5">
      <c r="A1006" s="89"/>
      <c r="B1006" s="90"/>
      <c r="C1006" s="89"/>
      <c r="D1006" s="97"/>
      <c r="E1006" s="98"/>
      <c r="F1006" s="98"/>
      <c r="G1006" s="84"/>
      <c r="H1006" s="227" t="s">
        <v>235</v>
      </c>
      <c r="I1006" s="99">
        <v>674</v>
      </c>
      <c r="J1006" s="94">
        <v>1</v>
      </c>
      <c r="K1006" s="86"/>
      <c r="L1006" s="87"/>
      <c r="M1006" s="88"/>
      <c r="N1006" s="88"/>
      <c r="O1006" s="88"/>
      <c r="P1006" s="93"/>
      <c r="Q1006" s="127">
        <f>Q1007+Q1016</f>
        <v>6788.599999999999</v>
      </c>
      <c r="R1006" s="127">
        <f>R1007+R1016</f>
        <v>7050</v>
      </c>
      <c r="S1006" s="127">
        <f>S1007+S1016</f>
        <v>6868.299999999999</v>
      </c>
    </row>
    <row r="1007" spans="1:19" s="113" customFormat="1" ht="31.5">
      <c r="A1007" s="89"/>
      <c r="B1007" s="90"/>
      <c r="C1007" s="89"/>
      <c r="D1007" s="97"/>
      <c r="E1007" s="98"/>
      <c r="F1007" s="98"/>
      <c r="G1007" s="84"/>
      <c r="H1007" s="225" t="s">
        <v>238</v>
      </c>
      <c r="I1007" s="99">
        <v>674</v>
      </c>
      <c r="J1007" s="94">
        <v>1</v>
      </c>
      <c r="K1007" s="86">
        <v>4</v>
      </c>
      <c r="L1007" s="87"/>
      <c r="M1007" s="88"/>
      <c r="N1007" s="88"/>
      <c r="O1007" s="88"/>
      <c r="P1007" s="93"/>
      <c r="Q1007" s="127">
        <f aca="true" t="shared" si="114" ref="Q1007:S1008">Q1008</f>
        <v>6448.299999999999</v>
      </c>
      <c r="R1007" s="127">
        <f t="shared" si="114"/>
        <v>7050</v>
      </c>
      <c r="S1007" s="127">
        <f t="shared" si="114"/>
        <v>6868.299999999999</v>
      </c>
    </row>
    <row r="1008" spans="1:19" ht="31.5">
      <c r="A1008" s="61"/>
      <c r="B1008" s="60"/>
      <c r="C1008" s="59"/>
      <c r="D1008" s="63"/>
      <c r="E1008" s="77"/>
      <c r="F1008" s="77"/>
      <c r="G1008" s="51"/>
      <c r="H1008" s="2" t="s">
        <v>522</v>
      </c>
      <c r="I1008" s="5">
        <v>674</v>
      </c>
      <c r="J1008" s="13">
        <v>1</v>
      </c>
      <c r="K1008" s="11">
        <v>4</v>
      </c>
      <c r="L1008" s="57" t="s">
        <v>494</v>
      </c>
      <c r="M1008" s="58" t="s">
        <v>220</v>
      </c>
      <c r="N1008" s="58" t="s">
        <v>229</v>
      </c>
      <c r="O1008" s="58" t="s">
        <v>261</v>
      </c>
      <c r="P1008" s="3"/>
      <c r="Q1008" s="126">
        <f t="shared" si="114"/>
        <v>6448.299999999999</v>
      </c>
      <c r="R1008" s="126">
        <f t="shared" si="114"/>
        <v>7050</v>
      </c>
      <c r="S1008" s="126">
        <f t="shared" si="114"/>
        <v>6868.299999999999</v>
      </c>
    </row>
    <row r="1009" spans="1:19" ht="31.5">
      <c r="A1009" s="61"/>
      <c r="B1009" s="60"/>
      <c r="C1009" s="59"/>
      <c r="D1009" s="63"/>
      <c r="E1009" s="77"/>
      <c r="F1009" s="77"/>
      <c r="G1009" s="51"/>
      <c r="H1009" s="2" t="s">
        <v>901</v>
      </c>
      <c r="I1009" s="5">
        <v>674</v>
      </c>
      <c r="J1009" s="13">
        <v>1</v>
      </c>
      <c r="K1009" s="11">
        <v>4</v>
      </c>
      <c r="L1009" s="57" t="s">
        <v>494</v>
      </c>
      <c r="M1009" s="58" t="s">
        <v>220</v>
      </c>
      <c r="N1009" s="58" t="s">
        <v>232</v>
      </c>
      <c r="O1009" s="58" t="s">
        <v>261</v>
      </c>
      <c r="P1009" s="3"/>
      <c r="Q1009" s="126">
        <f>Q1010+Q1014</f>
        <v>6448.299999999999</v>
      </c>
      <c r="R1009" s="126">
        <f>R1010+R1014</f>
        <v>7050</v>
      </c>
      <c r="S1009" s="126">
        <f>S1010+S1014</f>
        <v>6868.299999999999</v>
      </c>
    </row>
    <row r="1010" spans="1:19" ht="18.75">
      <c r="A1010" s="61"/>
      <c r="B1010" s="60"/>
      <c r="C1010" s="59"/>
      <c r="D1010" s="63"/>
      <c r="E1010" s="77"/>
      <c r="F1010" s="77"/>
      <c r="G1010" s="51"/>
      <c r="H1010" s="2" t="s">
        <v>60</v>
      </c>
      <c r="I1010" s="5">
        <v>674</v>
      </c>
      <c r="J1010" s="13">
        <v>1</v>
      </c>
      <c r="K1010" s="11">
        <v>4</v>
      </c>
      <c r="L1010" s="57" t="s">
        <v>494</v>
      </c>
      <c r="M1010" s="58" t="s">
        <v>220</v>
      </c>
      <c r="N1010" s="58" t="s">
        <v>232</v>
      </c>
      <c r="O1010" s="58" t="s">
        <v>264</v>
      </c>
      <c r="P1010" s="3"/>
      <c r="Q1010" s="126">
        <f>Q1011+Q1012+Q1013</f>
        <v>4077.2</v>
      </c>
      <c r="R1010" s="126">
        <f>R1011+R1012+R1013</f>
        <v>4678.9</v>
      </c>
      <c r="S1010" s="126">
        <f>S1011+S1012+S1013</f>
        <v>4497.2</v>
      </c>
    </row>
    <row r="1011" spans="1:19" ht="18.75">
      <c r="A1011" s="61"/>
      <c r="B1011" s="60"/>
      <c r="C1011" s="59"/>
      <c r="D1011" s="63"/>
      <c r="E1011" s="77"/>
      <c r="F1011" s="77"/>
      <c r="G1011" s="51"/>
      <c r="H1011" s="2" t="s">
        <v>204</v>
      </c>
      <c r="I1011" s="5">
        <v>674</v>
      </c>
      <c r="J1011" s="13">
        <v>1</v>
      </c>
      <c r="K1011" s="11">
        <v>4</v>
      </c>
      <c r="L1011" s="57" t="s">
        <v>494</v>
      </c>
      <c r="M1011" s="58" t="s">
        <v>220</v>
      </c>
      <c r="N1011" s="58" t="s">
        <v>232</v>
      </c>
      <c r="O1011" s="58" t="s">
        <v>264</v>
      </c>
      <c r="P1011" s="3">
        <v>120</v>
      </c>
      <c r="Q1011" s="126">
        <f>3366.7-280.4-2-119.3</f>
        <v>2964.9999999999995</v>
      </c>
      <c r="R1011" s="126">
        <v>3546.8</v>
      </c>
      <c r="S1011" s="126">
        <v>3512.2</v>
      </c>
    </row>
    <row r="1012" spans="1:19" ht="18.75">
      <c r="A1012" s="61"/>
      <c r="B1012" s="60"/>
      <c r="C1012" s="59"/>
      <c r="D1012" s="63"/>
      <c r="E1012" s="77"/>
      <c r="F1012" s="77"/>
      <c r="G1012" s="51"/>
      <c r="H1012" s="2" t="s">
        <v>299</v>
      </c>
      <c r="I1012" s="5">
        <v>674</v>
      </c>
      <c r="J1012" s="13">
        <v>1</v>
      </c>
      <c r="K1012" s="11">
        <v>4</v>
      </c>
      <c r="L1012" s="57" t="s">
        <v>494</v>
      </c>
      <c r="M1012" s="58" t="s">
        <v>220</v>
      </c>
      <c r="N1012" s="58" t="s">
        <v>232</v>
      </c>
      <c r="O1012" s="58" t="s">
        <v>264</v>
      </c>
      <c r="P1012" s="3">
        <v>240</v>
      </c>
      <c r="Q1012" s="126">
        <f>1107.1+260.9-20-295.8</f>
        <v>1052.2</v>
      </c>
      <c r="R1012" s="126">
        <v>1107.1</v>
      </c>
      <c r="S1012" s="126">
        <v>960</v>
      </c>
    </row>
    <row r="1013" spans="1:19" ht="18.75">
      <c r="A1013" s="61"/>
      <c r="B1013" s="60"/>
      <c r="C1013" s="59"/>
      <c r="D1013" s="63"/>
      <c r="E1013" s="77"/>
      <c r="F1013" s="77"/>
      <c r="G1013" s="51"/>
      <c r="H1013" s="2" t="s">
        <v>300</v>
      </c>
      <c r="I1013" s="5">
        <v>674</v>
      </c>
      <c r="J1013" s="13">
        <v>1</v>
      </c>
      <c r="K1013" s="11">
        <v>4</v>
      </c>
      <c r="L1013" s="57" t="s">
        <v>494</v>
      </c>
      <c r="M1013" s="58" t="s">
        <v>220</v>
      </c>
      <c r="N1013" s="58" t="s">
        <v>232</v>
      </c>
      <c r="O1013" s="58" t="s">
        <v>264</v>
      </c>
      <c r="P1013" s="3">
        <v>850</v>
      </c>
      <c r="Q1013" s="126">
        <f>25+20+15</f>
        <v>60</v>
      </c>
      <c r="R1013" s="126">
        <v>25</v>
      </c>
      <c r="S1013" s="126">
        <v>25</v>
      </c>
    </row>
    <row r="1014" spans="1:19" ht="31.5">
      <c r="A1014" s="61"/>
      <c r="B1014" s="60"/>
      <c r="C1014" s="59"/>
      <c r="D1014" s="63"/>
      <c r="E1014" s="77"/>
      <c r="F1014" s="77"/>
      <c r="G1014" s="51"/>
      <c r="H1014" s="2" t="s">
        <v>374</v>
      </c>
      <c r="I1014" s="5">
        <v>674</v>
      </c>
      <c r="J1014" s="13">
        <v>1</v>
      </c>
      <c r="K1014" s="11">
        <v>4</v>
      </c>
      <c r="L1014" s="57" t="s">
        <v>494</v>
      </c>
      <c r="M1014" s="58" t="s">
        <v>220</v>
      </c>
      <c r="N1014" s="58" t="s">
        <v>232</v>
      </c>
      <c r="O1014" s="58" t="s">
        <v>373</v>
      </c>
      <c r="P1014" s="3"/>
      <c r="Q1014" s="126">
        <f>Q1015</f>
        <v>2371.1</v>
      </c>
      <c r="R1014" s="126">
        <f>R1015</f>
        <v>2371.1</v>
      </c>
      <c r="S1014" s="126">
        <f>S1015</f>
        <v>2371.1</v>
      </c>
    </row>
    <row r="1015" spans="1:19" ht="18.75">
      <c r="A1015" s="61"/>
      <c r="B1015" s="60"/>
      <c r="C1015" s="59"/>
      <c r="D1015" s="63"/>
      <c r="E1015" s="77"/>
      <c r="F1015" s="77"/>
      <c r="G1015" s="51"/>
      <c r="H1015" s="2" t="s">
        <v>204</v>
      </c>
      <c r="I1015" s="5">
        <v>674</v>
      </c>
      <c r="J1015" s="13">
        <v>1</v>
      </c>
      <c r="K1015" s="11">
        <v>4</v>
      </c>
      <c r="L1015" s="57" t="s">
        <v>494</v>
      </c>
      <c r="M1015" s="58" t="s">
        <v>220</v>
      </c>
      <c r="N1015" s="58" t="s">
        <v>232</v>
      </c>
      <c r="O1015" s="58" t="s">
        <v>373</v>
      </c>
      <c r="P1015" s="3">
        <v>120</v>
      </c>
      <c r="Q1015" s="126">
        <v>2371.1</v>
      </c>
      <c r="R1015" s="126">
        <v>2371.1</v>
      </c>
      <c r="S1015" s="126">
        <v>2371.1</v>
      </c>
    </row>
    <row r="1016" spans="1:19" s="113" customFormat="1" ht="19.5">
      <c r="A1016" s="89"/>
      <c r="B1016" s="90"/>
      <c r="C1016" s="89"/>
      <c r="D1016" s="107"/>
      <c r="E1016" s="196"/>
      <c r="F1016" s="196"/>
      <c r="G1016" s="84"/>
      <c r="H1016" s="96" t="s">
        <v>206</v>
      </c>
      <c r="I1016" s="251">
        <v>673</v>
      </c>
      <c r="J1016" s="86">
        <v>1</v>
      </c>
      <c r="K1016" s="86">
        <v>13</v>
      </c>
      <c r="L1016" s="87"/>
      <c r="M1016" s="88"/>
      <c r="N1016" s="88"/>
      <c r="O1016" s="88"/>
      <c r="P1016" s="93"/>
      <c r="Q1016" s="127">
        <f aca="true" t="shared" si="115" ref="Q1016:S1019">Q1017</f>
        <v>340.3</v>
      </c>
      <c r="R1016" s="127">
        <f t="shared" si="115"/>
        <v>0</v>
      </c>
      <c r="S1016" s="127">
        <f t="shared" si="115"/>
        <v>0</v>
      </c>
    </row>
    <row r="1017" spans="1:19" ht="31.5">
      <c r="A1017" s="61"/>
      <c r="B1017" s="60"/>
      <c r="C1017" s="59"/>
      <c r="D1017" s="69"/>
      <c r="E1017" s="64"/>
      <c r="F1017" s="64"/>
      <c r="G1017" s="51"/>
      <c r="H1017" s="2" t="s">
        <v>522</v>
      </c>
      <c r="I1017" s="5">
        <v>674</v>
      </c>
      <c r="J1017" s="13">
        <v>1</v>
      </c>
      <c r="K1017" s="11">
        <v>13</v>
      </c>
      <c r="L1017" s="57" t="s">
        <v>494</v>
      </c>
      <c r="M1017" s="58" t="s">
        <v>220</v>
      </c>
      <c r="N1017" s="58" t="s">
        <v>229</v>
      </c>
      <c r="O1017" s="58" t="s">
        <v>261</v>
      </c>
      <c r="P1017" s="3"/>
      <c r="Q1017" s="126">
        <f t="shared" si="115"/>
        <v>340.3</v>
      </c>
      <c r="R1017" s="126">
        <f t="shared" si="115"/>
        <v>0</v>
      </c>
      <c r="S1017" s="126">
        <f t="shared" si="115"/>
        <v>0</v>
      </c>
    </row>
    <row r="1018" spans="1:19" ht="31.5">
      <c r="A1018" s="61"/>
      <c r="B1018" s="60"/>
      <c r="C1018" s="59"/>
      <c r="D1018" s="69"/>
      <c r="E1018" s="64"/>
      <c r="F1018" s="64"/>
      <c r="G1018" s="51"/>
      <c r="H1018" s="2" t="s">
        <v>901</v>
      </c>
      <c r="I1018" s="5">
        <v>674</v>
      </c>
      <c r="J1018" s="13">
        <v>1</v>
      </c>
      <c r="K1018" s="11">
        <v>13</v>
      </c>
      <c r="L1018" s="57" t="s">
        <v>494</v>
      </c>
      <c r="M1018" s="58" t="s">
        <v>220</v>
      </c>
      <c r="N1018" s="58" t="s">
        <v>232</v>
      </c>
      <c r="O1018" s="58" t="s">
        <v>261</v>
      </c>
      <c r="P1018" s="3"/>
      <c r="Q1018" s="126">
        <f t="shared" si="115"/>
        <v>340.3</v>
      </c>
      <c r="R1018" s="126">
        <f t="shared" si="115"/>
        <v>0</v>
      </c>
      <c r="S1018" s="126">
        <f t="shared" si="115"/>
        <v>0</v>
      </c>
    </row>
    <row r="1019" spans="1:19" ht="18.75">
      <c r="A1019" s="61"/>
      <c r="B1019" s="60"/>
      <c r="C1019" s="59"/>
      <c r="D1019" s="69"/>
      <c r="E1019" s="64"/>
      <c r="F1019" s="64"/>
      <c r="G1019" s="51"/>
      <c r="H1019" s="303" t="s">
        <v>462</v>
      </c>
      <c r="I1019" s="5">
        <v>674</v>
      </c>
      <c r="J1019" s="13">
        <v>1</v>
      </c>
      <c r="K1019" s="11">
        <v>13</v>
      </c>
      <c r="L1019" s="57" t="s">
        <v>494</v>
      </c>
      <c r="M1019" s="58" t="s">
        <v>220</v>
      </c>
      <c r="N1019" s="58" t="s">
        <v>232</v>
      </c>
      <c r="O1019" s="58" t="s">
        <v>926</v>
      </c>
      <c r="P1019" s="3"/>
      <c r="Q1019" s="126">
        <f t="shared" si="115"/>
        <v>340.3</v>
      </c>
      <c r="R1019" s="126">
        <f t="shared" si="115"/>
        <v>0</v>
      </c>
      <c r="S1019" s="126">
        <f t="shared" si="115"/>
        <v>0</v>
      </c>
    </row>
    <row r="1020" spans="1:19" ht="18.75">
      <c r="A1020" s="61"/>
      <c r="B1020" s="60"/>
      <c r="C1020" s="59"/>
      <c r="D1020" s="69"/>
      <c r="E1020" s="64"/>
      <c r="F1020" s="64"/>
      <c r="G1020" s="51"/>
      <c r="H1020" s="2" t="s">
        <v>299</v>
      </c>
      <c r="I1020" s="5">
        <v>674</v>
      </c>
      <c r="J1020" s="13">
        <v>1</v>
      </c>
      <c r="K1020" s="11">
        <v>13</v>
      </c>
      <c r="L1020" s="57" t="s">
        <v>494</v>
      </c>
      <c r="M1020" s="58" t="s">
        <v>220</v>
      </c>
      <c r="N1020" s="58" t="s">
        <v>232</v>
      </c>
      <c r="O1020" s="58" t="s">
        <v>926</v>
      </c>
      <c r="P1020" s="3">
        <v>240</v>
      </c>
      <c r="Q1020" s="126">
        <f>171.9+168.4</f>
        <v>340.3</v>
      </c>
      <c r="R1020" s="126">
        <v>0</v>
      </c>
      <c r="S1020" s="126">
        <v>0</v>
      </c>
    </row>
    <row r="1021" spans="1:19" ht="18.75">
      <c r="A1021" s="61"/>
      <c r="B1021" s="60"/>
      <c r="C1021" s="59"/>
      <c r="D1021" s="69"/>
      <c r="E1021" s="64"/>
      <c r="F1021" s="64"/>
      <c r="G1021" s="51"/>
      <c r="H1021" s="353" t="s">
        <v>563</v>
      </c>
      <c r="I1021" s="253">
        <v>674</v>
      </c>
      <c r="J1021" s="249">
        <v>2</v>
      </c>
      <c r="K1021" s="53"/>
      <c r="L1021" s="57"/>
      <c r="M1021" s="58"/>
      <c r="N1021" s="58"/>
      <c r="O1021" s="58"/>
      <c r="P1021" s="3"/>
      <c r="Q1021" s="126">
        <f aca="true" t="shared" si="116" ref="Q1021:S1025">Q1022</f>
        <v>300.2</v>
      </c>
      <c r="R1021" s="126">
        <f t="shared" si="116"/>
        <v>330</v>
      </c>
      <c r="S1021" s="126">
        <f t="shared" si="116"/>
        <v>360.3</v>
      </c>
    </row>
    <row r="1022" spans="1:19" ht="18.75">
      <c r="A1022" s="61"/>
      <c r="B1022" s="60"/>
      <c r="C1022" s="59"/>
      <c r="D1022" s="69"/>
      <c r="E1022" s="64"/>
      <c r="F1022" s="64"/>
      <c r="G1022" s="51"/>
      <c r="H1022" s="96" t="s">
        <v>564</v>
      </c>
      <c r="I1022" s="99">
        <v>674</v>
      </c>
      <c r="J1022" s="95">
        <v>2</v>
      </c>
      <c r="K1022" s="86">
        <v>3</v>
      </c>
      <c r="L1022" s="57"/>
      <c r="M1022" s="58"/>
      <c r="N1022" s="58"/>
      <c r="O1022" s="58"/>
      <c r="P1022" s="3"/>
      <c r="Q1022" s="126">
        <f t="shared" si="116"/>
        <v>300.2</v>
      </c>
      <c r="R1022" s="126">
        <f t="shared" si="116"/>
        <v>330</v>
      </c>
      <c r="S1022" s="126">
        <f t="shared" si="116"/>
        <v>360.3</v>
      </c>
    </row>
    <row r="1023" spans="1:19" ht="31.5">
      <c r="A1023" s="61"/>
      <c r="B1023" s="60"/>
      <c r="C1023" s="59"/>
      <c r="D1023" s="69"/>
      <c r="E1023" s="64"/>
      <c r="F1023" s="64"/>
      <c r="G1023" s="51"/>
      <c r="H1023" s="2" t="s">
        <v>522</v>
      </c>
      <c r="I1023" s="5">
        <v>674</v>
      </c>
      <c r="J1023" s="4">
        <v>2</v>
      </c>
      <c r="K1023" s="11">
        <v>3</v>
      </c>
      <c r="L1023" s="57" t="s">
        <v>494</v>
      </c>
      <c r="M1023" s="58" t="s">
        <v>220</v>
      </c>
      <c r="N1023" s="58" t="s">
        <v>232</v>
      </c>
      <c r="O1023" s="58" t="s">
        <v>261</v>
      </c>
      <c r="P1023" s="3"/>
      <c r="Q1023" s="126">
        <f t="shared" si="116"/>
        <v>300.2</v>
      </c>
      <c r="R1023" s="126">
        <f t="shared" si="116"/>
        <v>330</v>
      </c>
      <c r="S1023" s="126">
        <f t="shared" si="116"/>
        <v>360.3</v>
      </c>
    </row>
    <row r="1024" spans="1:19" ht="31.5">
      <c r="A1024" s="61"/>
      <c r="B1024" s="60"/>
      <c r="C1024" s="59"/>
      <c r="D1024" s="69"/>
      <c r="E1024" s="64"/>
      <c r="F1024" s="64"/>
      <c r="G1024" s="51"/>
      <c r="H1024" s="2" t="s">
        <v>902</v>
      </c>
      <c r="I1024" s="5">
        <v>674</v>
      </c>
      <c r="J1024" s="4">
        <v>2</v>
      </c>
      <c r="K1024" s="11">
        <v>3</v>
      </c>
      <c r="L1024" s="57" t="s">
        <v>494</v>
      </c>
      <c r="M1024" s="58" t="s">
        <v>220</v>
      </c>
      <c r="N1024" s="58" t="s">
        <v>232</v>
      </c>
      <c r="O1024" s="58" t="s">
        <v>504</v>
      </c>
      <c r="P1024" s="3"/>
      <c r="Q1024" s="126">
        <f t="shared" si="116"/>
        <v>300.2</v>
      </c>
      <c r="R1024" s="126">
        <f t="shared" si="116"/>
        <v>330</v>
      </c>
      <c r="S1024" s="126">
        <f t="shared" si="116"/>
        <v>360.3</v>
      </c>
    </row>
    <row r="1025" spans="1:19" ht="31.5">
      <c r="A1025" s="61"/>
      <c r="B1025" s="60"/>
      <c r="C1025" s="59"/>
      <c r="D1025" s="69"/>
      <c r="E1025" s="64"/>
      <c r="F1025" s="64"/>
      <c r="G1025" s="51"/>
      <c r="H1025" s="2" t="s">
        <v>560</v>
      </c>
      <c r="I1025" s="5">
        <v>674</v>
      </c>
      <c r="J1025" s="4">
        <v>2</v>
      </c>
      <c r="K1025" s="11">
        <v>3</v>
      </c>
      <c r="L1025" s="57" t="s">
        <v>494</v>
      </c>
      <c r="M1025" s="58" t="s">
        <v>220</v>
      </c>
      <c r="N1025" s="58" t="s">
        <v>232</v>
      </c>
      <c r="O1025" s="58" t="s">
        <v>504</v>
      </c>
      <c r="P1025" s="3"/>
      <c r="Q1025" s="126">
        <f t="shared" si="116"/>
        <v>300.2</v>
      </c>
      <c r="R1025" s="126">
        <f t="shared" si="116"/>
        <v>330</v>
      </c>
      <c r="S1025" s="126">
        <f t="shared" si="116"/>
        <v>360.3</v>
      </c>
    </row>
    <row r="1026" spans="1:19" ht="18.75">
      <c r="A1026" s="61"/>
      <c r="B1026" s="60"/>
      <c r="C1026" s="59"/>
      <c r="D1026" s="69"/>
      <c r="E1026" s="64"/>
      <c r="F1026" s="64"/>
      <c r="G1026" s="51"/>
      <c r="H1026" s="2" t="s">
        <v>204</v>
      </c>
      <c r="I1026" s="5">
        <v>674</v>
      </c>
      <c r="J1026" s="4">
        <v>2</v>
      </c>
      <c r="K1026" s="11">
        <v>3</v>
      </c>
      <c r="L1026" s="57" t="s">
        <v>494</v>
      </c>
      <c r="M1026" s="58" t="s">
        <v>220</v>
      </c>
      <c r="N1026" s="58" t="s">
        <v>232</v>
      </c>
      <c r="O1026" s="58" t="s">
        <v>504</v>
      </c>
      <c r="P1026" s="3">
        <v>120</v>
      </c>
      <c r="Q1026" s="126">
        <v>300.2</v>
      </c>
      <c r="R1026" s="126">
        <v>330</v>
      </c>
      <c r="S1026" s="126">
        <v>360.3</v>
      </c>
    </row>
    <row r="1027" spans="1:19" ht="18.75">
      <c r="A1027" s="61"/>
      <c r="B1027" s="60"/>
      <c r="C1027" s="59"/>
      <c r="D1027" s="69"/>
      <c r="E1027" s="64"/>
      <c r="F1027" s="64"/>
      <c r="G1027" s="51"/>
      <c r="H1027" s="2" t="s">
        <v>256</v>
      </c>
      <c r="I1027" s="253">
        <v>674</v>
      </c>
      <c r="J1027" s="274">
        <v>3</v>
      </c>
      <c r="K1027" s="53"/>
      <c r="L1027" s="57"/>
      <c r="M1027" s="58"/>
      <c r="N1027" s="58"/>
      <c r="O1027" s="58"/>
      <c r="P1027" s="3"/>
      <c r="Q1027" s="126">
        <f>Q1033</f>
        <v>250</v>
      </c>
      <c r="R1027" s="126">
        <f>R1033</f>
        <v>250</v>
      </c>
      <c r="S1027" s="126">
        <f>S1033</f>
        <v>250</v>
      </c>
    </row>
    <row r="1028" spans="1:19" ht="31.5">
      <c r="A1028" s="61"/>
      <c r="B1028" s="60"/>
      <c r="C1028" s="59"/>
      <c r="D1028" s="69"/>
      <c r="E1028" s="64"/>
      <c r="F1028" s="64"/>
      <c r="G1028" s="51"/>
      <c r="H1028" s="260" t="s">
        <v>888</v>
      </c>
      <c r="I1028" s="99">
        <v>674</v>
      </c>
      <c r="J1028" s="103">
        <v>3</v>
      </c>
      <c r="K1028" s="86">
        <v>10</v>
      </c>
      <c r="L1028" s="57"/>
      <c r="M1028" s="58"/>
      <c r="N1028" s="58"/>
      <c r="O1028" s="58"/>
      <c r="P1028" s="3"/>
      <c r="Q1028" s="126">
        <f>Q1033</f>
        <v>250</v>
      </c>
      <c r="R1028" s="126">
        <f>R1033</f>
        <v>250</v>
      </c>
      <c r="S1028" s="126">
        <f>S1033</f>
        <v>250</v>
      </c>
    </row>
    <row r="1029" spans="1:19" ht="31.5">
      <c r="A1029" s="61"/>
      <c r="B1029" s="60"/>
      <c r="C1029" s="59"/>
      <c r="D1029" s="69"/>
      <c r="E1029" s="64"/>
      <c r="F1029" s="64"/>
      <c r="G1029" s="51"/>
      <c r="H1029" s="2" t="s">
        <v>526</v>
      </c>
      <c r="I1029" s="5">
        <v>674</v>
      </c>
      <c r="J1029" s="15">
        <v>3</v>
      </c>
      <c r="K1029" s="11">
        <v>10</v>
      </c>
      <c r="L1029" s="57" t="s">
        <v>215</v>
      </c>
      <c r="M1029" s="58" t="s">
        <v>220</v>
      </c>
      <c r="N1029" s="58" t="s">
        <v>229</v>
      </c>
      <c r="O1029" s="58" t="s">
        <v>261</v>
      </c>
      <c r="P1029" s="3"/>
      <c r="Q1029" s="126">
        <f>Q1030</f>
        <v>250</v>
      </c>
      <c r="R1029" s="126">
        <f>R1030</f>
        <v>250</v>
      </c>
      <c r="S1029" s="126">
        <f>S1030</f>
        <v>250</v>
      </c>
    </row>
    <row r="1030" spans="1:19" ht="31.5">
      <c r="A1030" s="61"/>
      <c r="B1030" s="60"/>
      <c r="C1030" s="59"/>
      <c r="D1030" s="69"/>
      <c r="E1030" s="64"/>
      <c r="F1030" s="64"/>
      <c r="G1030" s="51"/>
      <c r="H1030" s="2" t="s">
        <v>1006</v>
      </c>
      <c r="I1030" s="5">
        <v>674</v>
      </c>
      <c r="J1030" s="15">
        <v>3</v>
      </c>
      <c r="K1030" s="11">
        <v>10</v>
      </c>
      <c r="L1030" s="57" t="s">
        <v>889</v>
      </c>
      <c r="M1030" s="58" t="s">
        <v>217</v>
      </c>
      <c r="N1030" s="58" t="s">
        <v>229</v>
      </c>
      <c r="O1030" s="58" t="s">
        <v>261</v>
      </c>
      <c r="P1030" s="3"/>
      <c r="Q1030" s="126">
        <f>Q1033</f>
        <v>250</v>
      </c>
      <c r="R1030" s="126">
        <f>R1033</f>
        <v>250</v>
      </c>
      <c r="S1030" s="126">
        <f>S1033</f>
        <v>250</v>
      </c>
    </row>
    <row r="1031" spans="1:19" ht="31.5">
      <c r="A1031" s="61"/>
      <c r="B1031" s="60"/>
      <c r="C1031" s="59"/>
      <c r="D1031" s="69"/>
      <c r="E1031" s="64"/>
      <c r="F1031" s="64"/>
      <c r="G1031" s="51"/>
      <c r="H1031" s="2" t="s">
        <v>881</v>
      </c>
      <c r="I1031" s="5">
        <v>674</v>
      </c>
      <c r="J1031" s="15">
        <v>3</v>
      </c>
      <c r="K1031" s="11">
        <v>10</v>
      </c>
      <c r="L1031" s="57" t="s">
        <v>215</v>
      </c>
      <c r="M1031" s="58" t="s">
        <v>217</v>
      </c>
      <c r="N1031" s="58" t="s">
        <v>236</v>
      </c>
      <c r="O1031" s="58" t="s">
        <v>511</v>
      </c>
      <c r="P1031" s="3"/>
      <c r="Q1031" s="126">
        <f>Q1033</f>
        <v>250</v>
      </c>
      <c r="R1031" s="126">
        <f>R1033</f>
        <v>250</v>
      </c>
      <c r="S1031" s="126">
        <f>S1033</f>
        <v>250</v>
      </c>
    </row>
    <row r="1032" spans="1:19" ht="18.75">
      <c r="A1032" s="61"/>
      <c r="B1032" s="60"/>
      <c r="C1032" s="59"/>
      <c r="D1032" s="69"/>
      <c r="E1032" s="64"/>
      <c r="F1032" s="64"/>
      <c r="G1032" s="51"/>
      <c r="H1032" s="2" t="s">
        <v>884</v>
      </c>
      <c r="I1032" s="5">
        <v>674</v>
      </c>
      <c r="J1032" s="15">
        <v>3</v>
      </c>
      <c r="K1032" s="11">
        <v>10</v>
      </c>
      <c r="L1032" s="57" t="s">
        <v>215</v>
      </c>
      <c r="M1032" s="58" t="s">
        <v>217</v>
      </c>
      <c r="N1032" s="58" t="s">
        <v>236</v>
      </c>
      <c r="O1032" s="58" t="s">
        <v>890</v>
      </c>
      <c r="P1032" s="3"/>
      <c r="Q1032" s="126">
        <f>Q1033</f>
        <v>250</v>
      </c>
      <c r="R1032" s="126">
        <f>R1033</f>
        <v>250</v>
      </c>
      <c r="S1032" s="126">
        <f>S1033</f>
        <v>250</v>
      </c>
    </row>
    <row r="1033" spans="1:19" ht="18.75">
      <c r="A1033" s="61"/>
      <c r="B1033" s="60"/>
      <c r="C1033" s="59"/>
      <c r="D1033" s="69"/>
      <c r="E1033" s="64"/>
      <c r="F1033" s="64"/>
      <c r="G1033" s="51"/>
      <c r="H1033" s="2" t="s">
        <v>299</v>
      </c>
      <c r="I1033" s="5">
        <v>674</v>
      </c>
      <c r="J1033" s="15">
        <v>3</v>
      </c>
      <c r="K1033" s="11">
        <v>10</v>
      </c>
      <c r="L1033" s="57" t="s">
        <v>215</v>
      </c>
      <c r="M1033" s="58" t="s">
        <v>217</v>
      </c>
      <c r="N1033" s="58" t="s">
        <v>236</v>
      </c>
      <c r="O1033" s="58" t="s">
        <v>890</v>
      </c>
      <c r="P1033" s="3">
        <v>240</v>
      </c>
      <c r="Q1033" s="126">
        <v>250</v>
      </c>
      <c r="R1033" s="126">
        <v>250</v>
      </c>
      <c r="S1033" s="126">
        <v>250</v>
      </c>
    </row>
    <row r="1034" spans="1:19" s="113" customFormat="1" ht="19.5">
      <c r="A1034" s="89"/>
      <c r="B1034" s="90"/>
      <c r="C1034" s="89"/>
      <c r="D1034" s="91"/>
      <c r="E1034" s="92"/>
      <c r="F1034" s="92"/>
      <c r="G1034" s="84"/>
      <c r="H1034" s="227" t="s">
        <v>242</v>
      </c>
      <c r="I1034" s="99">
        <v>674</v>
      </c>
      <c r="J1034" s="103">
        <v>4</v>
      </c>
      <c r="K1034" s="86"/>
      <c r="L1034" s="87"/>
      <c r="M1034" s="88"/>
      <c r="N1034" s="88"/>
      <c r="O1034" s="88"/>
      <c r="P1034" s="93"/>
      <c r="Q1034" s="127">
        <f>Q1035</f>
        <v>2400</v>
      </c>
      <c r="R1034" s="127">
        <f aca="true" t="shared" si="117" ref="R1034:S1037">R1035</f>
        <v>1900</v>
      </c>
      <c r="S1034" s="127">
        <f t="shared" si="117"/>
        <v>1900</v>
      </c>
    </row>
    <row r="1035" spans="1:19" s="113" customFormat="1" ht="19.5">
      <c r="A1035" s="89"/>
      <c r="B1035" s="90"/>
      <c r="C1035" s="89"/>
      <c r="D1035" s="91"/>
      <c r="E1035" s="92"/>
      <c r="F1035" s="92"/>
      <c r="G1035" s="84"/>
      <c r="H1035" s="227" t="s">
        <v>58</v>
      </c>
      <c r="I1035" s="99">
        <v>674</v>
      </c>
      <c r="J1035" s="103">
        <v>4</v>
      </c>
      <c r="K1035" s="86">
        <v>9</v>
      </c>
      <c r="L1035" s="87"/>
      <c r="M1035" s="88"/>
      <c r="N1035" s="88"/>
      <c r="O1035" s="88"/>
      <c r="P1035" s="93"/>
      <c r="Q1035" s="127">
        <f>Q1036</f>
        <v>2400</v>
      </c>
      <c r="R1035" s="127">
        <f t="shared" si="117"/>
        <v>1900</v>
      </c>
      <c r="S1035" s="127">
        <f t="shared" si="117"/>
        <v>1900</v>
      </c>
    </row>
    <row r="1036" spans="1:19" ht="31.5">
      <c r="A1036" s="61"/>
      <c r="B1036" s="60"/>
      <c r="C1036" s="59"/>
      <c r="D1036" s="63"/>
      <c r="E1036" s="77"/>
      <c r="F1036" s="77"/>
      <c r="G1036" s="51"/>
      <c r="H1036" s="70" t="s">
        <v>535</v>
      </c>
      <c r="I1036" s="5">
        <v>674</v>
      </c>
      <c r="J1036" s="13">
        <v>4</v>
      </c>
      <c r="K1036" s="11">
        <v>9</v>
      </c>
      <c r="L1036" s="57" t="s">
        <v>218</v>
      </c>
      <c r="M1036" s="58" t="s">
        <v>220</v>
      </c>
      <c r="N1036" s="58" t="s">
        <v>229</v>
      </c>
      <c r="O1036" s="58" t="s">
        <v>261</v>
      </c>
      <c r="P1036" s="3"/>
      <c r="Q1036" s="126">
        <f>Q1037</f>
        <v>2400</v>
      </c>
      <c r="R1036" s="126">
        <f t="shared" si="117"/>
        <v>1900</v>
      </c>
      <c r="S1036" s="126">
        <f t="shared" si="117"/>
        <v>1900</v>
      </c>
    </row>
    <row r="1037" spans="1:19" ht="18.75">
      <c r="A1037" s="61"/>
      <c r="B1037" s="60"/>
      <c r="C1037" s="59"/>
      <c r="D1037" s="63"/>
      <c r="E1037" s="77"/>
      <c r="F1037" s="77"/>
      <c r="G1037" s="51"/>
      <c r="H1037" s="70" t="s">
        <v>333</v>
      </c>
      <c r="I1037" s="5">
        <v>674</v>
      </c>
      <c r="J1037" s="13">
        <v>4</v>
      </c>
      <c r="K1037" s="11">
        <v>9</v>
      </c>
      <c r="L1037" s="57" t="s">
        <v>218</v>
      </c>
      <c r="M1037" s="58" t="s">
        <v>220</v>
      </c>
      <c r="N1037" s="58" t="s">
        <v>237</v>
      </c>
      <c r="O1037" s="58" t="s">
        <v>261</v>
      </c>
      <c r="P1037" s="3"/>
      <c r="Q1037" s="126">
        <f>Q1038</f>
        <v>2400</v>
      </c>
      <c r="R1037" s="126">
        <f t="shared" si="117"/>
        <v>1900</v>
      </c>
      <c r="S1037" s="126">
        <f t="shared" si="117"/>
        <v>1900</v>
      </c>
    </row>
    <row r="1038" spans="1:19" ht="18.75">
      <c r="A1038" s="61"/>
      <c r="B1038" s="60"/>
      <c r="C1038" s="59"/>
      <c r="D1038" s="63"/>
      <c r="E1038" s="77"/>
      <c r="F1038" s="77"/>
      <c r="G1038" s="51"/>
      <c r="H1038" s="2" t="s">
        <v>320</v>
      </c>
      <c r="I1038" s="5">
        <v>674</v>
      </c>
      <c r="J1038" s="13">
        <v>4</v>
      </c>
      <c r="K1038" s="11">
        <v>9</v>
      </c>
      <c r="L1038" s="57" t="s">
        <v>218</v>
      </c>
      <c r="M1038" s="58" t="s">
        <v>220</v>
      </c>
      <c r="N1038" s="58" t="s">
        <v>237</v>
      </c>
      <c r="O1038" s="58" t="s">
        <v>496</v>
      </c>
      <c r="P1038" s="3"/>
      <c r="Q1038" s="126">
        <f>Q1039</f>
        <v>2400</v>
      </c>
      <c r="R1038" s="126">
        <f>R1039</f>
        <v>1900</v>
      </c>
      <c r="S1038" s="126">
        <f>S1039</f>
        <v>1900</v>
      </c>
    </row>
    <row r="1039" spans="1:19" ht="18.75">
      <c r="A1039" s="61"/>
      <c r="B1039" s="60"/>
      <c r="C1039" s="59"/>
      <c r="D1039" s="63"/>
      <c r="E1039" s="77"/>
      <c r="F1039" s="77"/>
      <c r="G1039" s="51"/>
      <c r="H1039" s="2" t="s">
        <v>299</v>
      </c>
      <c r="I1039" s="5">
        <v>674</v>
      </c>
      <c r="J1039" s="13">
        <v>4</v>
      </c>
      <c r="K1039" s="11">
        <v>9</v>
      </c>
      <c r="L1039" s="57" t="s">
        <v>218</v>
      </c>
      <c r="M1039" s="58" t="s">
        <v>220</v>
      </c>
      <c r="N1039" s="58" t="s">
        <v>237</v>
      </c>
      <c r="O1039" s="58" t="s">
        <v>496</v>
      </c>
      <c r="P1039" s="3">
        <v>240</v>
      </c>
      <c r="Q1039" s="126">
        <f>1900+1000-500</f>
        <v>2400</v>
      </c>
      <c r="R1039" s="126">
        <v>1900</v>
      </c>
      <c r="S1039" s="126">
        <v>1900</v>
      </c>
    </row>
    <row r="1040" spans="1:19" s="113" customFormat="1" ht="19.5">
      <c r="A1040" s="89"/>
      <c r="B1040" s="90"/>
      <c r="C1040" s="89"/>
      <c r="D1040" s="97"/>
      <c r="E1040" s="98"/>
      <c r="F1040" s="98"/>
      <c r="G1040" s="84"/>
      <c r="H1040" s="227" t="s">
        <v>244</v>
      </c>
      <c r="I1040" s="99">
        <v>674</v>
      </c>
      <c r="J1040" s="94">
        <v>5</v>
      </c>
      <c r="K1040" s="86"/>
      <c r="L1040" s="87"/>
      <c r="M1040" s="88"/>
      <c r="N1040" s="88"/>
      <c r="O1040" s="88"/>
      <c r="P1040" s="93"/>
      <c r="Q1040" s="127">
        <f>Q1048+Q1070+Q1041</f>
        <v>22707.1</v>
      </c>
      <c r="R1040" s="127">
        <f>R1048+R1070+R1041</f>
        <v>6826.7</v>
      </c>
      <c r="S1040" s="127">
        <f>S1048+S1070+S1041</f>
        <v>6501.7</v>
      </c>
    </row>
    <row r="1041" spans="1:19" s="113" customFormat="1" ht="18.75">
      <c r="A1041" s="89"/>
      <c r="B1041" s="90"/>
      <c r="C1041" s="89"/>
      <c r="D1041" s="97"/>
      <c r="E1041" s="98"/>
      <c r="F1041" s="98"/>
      <c r="G1041" s="84"/>
      <c r="H1041" s="222" t="s">
        <v>312</v>
      </c>
      <c r="I1041" s="251">
        <v>674</v>
      </c>
      <c r="J1041" s="86">
        <v>5</v>
      </c>
      <c r="K1041" s="86">
        <v>2</v>
      </c>
      <c r="L1041" s="87"/>
      <c r="M1041" s="88"/>
      <c r="N1041" s="88"/>
      <c r="O1041" s="88"/>
      <c r="P1041" s="85"/>
      <c r="Q1041" s="124">
        <f aca="true" t="shared" si="118" ref="Q1041:S1042">Q1042</f>
        <v>1190</v>
      </c>
      <c r="R1041" s="124">
        <f t="shared" si="118"/>
        <v>0</v>
      </c>
      <c r="S1041" s="124">
        <f t="shared" si="118"/>
        <v>0</v>
      </c>
    </row>
    <row r="1042" spans="1:19" s="113" customFormat="1" ht="31.5">
      <c r="A1042" s="89"/>
      <c r="B1042" s="90"/>
      <c r="C1042" s="89"/>
      <c r="D1042" s="97"/>
      <c r="E1042" s="98"/>
      <c r="F1042" s="98"/>
      <c r="G1042" s="84"/>
      <c r="H1042" s="2" t="s">
        <v>522</v>
      </c>
      <c r="I1042" s="9">
        <v>674</v>
      </c>
      <c r="J1042" s="11">
        <v>5</v>
      </c>
      <c r="K1042" s="11">
        <v>2</v>
      </c>
      <c r="L1042" s="57" t="s">
        <v>494</v>
      </c>
      <c r="M1042" s="58" t="s">
        <v>220</v>
      </c>
      <c r="N1042" s="58" t="s">
        <v>229</v>
      </c>
      <c r="O1042" s="58" t="s">
        <v>261</v>
      </c>
      <c r="P1042" s="7"/>
      <c r="Q1042" s="124">
        <f t="shared" si="118"/>
        <v>1190</v>
      </c>
      <c r="R1042" s="124">
        <f t="shared" si="118"/>
        <v>0</v>
      </c>
      <c r="S1042" s="124">
        <f t="shared" si="118"/>
        <v>0</v>
      </c>
    </row>
    <row r="1043" spans="1:19" s="113" customFormat="1" ht="31.5">
      <c r="A1043" s="89"/>
      <c r="B1043" s="90"/>
      <c r="C1043" s="89"/>
      <c r="D1043" s="97"/>
      <c r="E1043" s="98"/>
      <c r="F1043" s="98"/>
      <c r="G1043" s="84"/>
      <c r="H1043" s="2" t="s">
        <v>901</v>
      </c>
      <c r="I1043" s="9">
        <v>674</v>
      </c>
      <c r="J1043" s="11">
        <v>5</v>
      </c>
      <c r="K1043" s="11">
        <v>2</v>
      </c>
      <c r="L1043" s="57" t="s">
        <v>494</v>
      </c>
      <c r="M1043" s="58" t="s">
        <v>220</v>
      </c>
      <c r="N1043" s="58" t="s">
        <v>232</v>
      </c>
      <c r="O1043" s="58" t="s">
        <v>261</v>
      </c>
      <c r="P1043" s="7"/>
      <c r="Q1043" s="124">
        <f>Q1046+Q1044</f>
        <v>1190</v>
      </c>
      <c r="R1043" s="124">
        <f>R1046+R1044</f>
        <v>0</v>
      </c>
      <c r="S1043" s="124">
        <f>S1046+S1044</f>
        <v>0</v>
      </c>
    </row>
    <row r="1044" spans="1:19" s="113" customFormat="1" ht="18.75" hidden="1">
      <c r="A1044" s="89"/>
      <c r="B1044" s="90"/>
      <c r="C1044" s="89"/>
      <c r="D1044" s="97"/>
      <c r="E1044" s="98"/>
      <c r="F1044" s="98"/>
      <c r="G1044" s="84"/>
      <c r="H1044" s="2" t="s">
        <v>60</v>
      </c>
      <c r="I1044" s="9">
        <v>674</v>
      </c>
      <c r="J1044" s="11">
        <v>5</v>
      </c>
      <c r="K1044" s="11">
        <v>2</v>
      </c>
      <c r="L1044" s="57" t="s">
        <v>494</v>
      </c>
      <c r="M1044" s="58" t="s">
        <v>220</v>
      </c>
      <c r="N1044" s="58" t="s">
        <v>232</v>
      </c>
      <c r="O1044" s="58" t="s">
        <v>264</v>
      </c>
      <c r="P1044" s="7"/>
      <c r="Q1044" s="124">
        <f>Q1045</f>
        <v>0</v>
      </c>
      <c r="R1044" s="124">
        <f>R1045</f>
        <v>0</v>
      </c>
      <c r="S1044" s="124">
        <f>S1045</f>
        <v>0</v>
      </c>
    </row>
    <row r="1045" spans="1:19" s="113" customFormat="1" ht="18.75" hidden="1">
      <c r="A1045" s="89"/>
      <c r="B1045" s="90"/>
      <c r="C1045" s="89"/>
      <c r="D1045" s="97"/>
      <c r="E1045" s="98"/>
      <c r="F1045" s="98"/>
      <c r="G1045" s="84"/>
      <c r="H1045" s="2" t="s">
        <v>299</v>
      </c>
      <c r="I1045" s="9">
        <v>674</v>
      </c>
      <c r="J1045" s="11">
        <v>5</v>
      </c>
      <c r="K1045" s="11">
        <v>2</v>
      </c>
      <c r="L1045" s="57" t="s">
        <v>494</v>
      </c>
      <c r="M1045" s="58" t="s">
        <v>220</v>
      </c>
      <c r="N1045" s="58" t="s">
        <v>232</v>
      </c>
      <c r="O1045" s="58" t="s">
        <v>264</v>
      </c>
      <c r="P1045" s="7">
        <v>240</v>
      </c>
      <c r="Q1045" s="124"/>
      <c r="R1045" s="124"/>
      <c r="S1045" s="124"/>
    </row>
    <row r="1046" spans="1:19" s="113" customFormat="1" ht="18.75">
      <c r="A1046" s="89"/>
      <c r="B1046" s="90"/>
      <c r="C1046" s="89"/>
      <c r="D1046" s="97"/>
      <c r="E1046" s="98"/>
      <c r="F1046" s="98"/>
      <c r="G1046" s="84"/>
      <c r="H1046" s="26" t="s">
        <v>462</v>
      </c>
      <c r="I1046" s="9">
        <v>674</v>
      </c>
      <c r="J1046" s="11">
        <v>5</v>
      </c>
      <c r="K1046" s="11">
        <v>2</v>
      </c>
      <c r="L1046" s="57" t="s">
        <v>494</v>
      </c>
      <c r="M1046" s="58" t="s">
        <v>220</v>
      </c>
      <c r="N1046" s="58" t="s">
        <v>232</v>
      </c>
      <c r="O1046" s="58" t="s">
        <v>316</v>
      </c>
      <c r="P1046" s="7"/>
      <c r="Q1046" s="124">
        <f>Q1047</f>
        <v>1190</v>
      </c>
      <c r="R1046" s="124">
        <f>R1047</f>
        <v>0</v>
      </c>
      <c r="S1046" s="124">
        <f>S1047</f>
        <v>0</v>
      </c>
    </row>
    <row r="1047" spans="1:19" s="113" customFormat="1" ht="18.75">
      <c r="A1047" s="89"/>
      <c r="B1047" s="90"/>
      <c r="C1047" s="89"/>
      <c r="D1047" s="97"/>
      <c r="E1047" s="98"/>
      <c r="F1047" s="98"/>
      <c r="G1047" s="84"/>
      <c r="H1047" s="2" t="s">
        <v>299</v>
      </c>
      <c r="I1047" s="9">
        <v>674</v>
      </c>
      <c r="J1047" s="11">
        <v>5</v>
      </c>
      <c r="K1047" s="11">
        <v>2</v>
      </c>
      <c r="L1047" s="57" t="s">
        <v>494</v>
      </c>
      <c r="M1047" s="58" t="s">
        <v>220</v>
      </c>
      <c r="N1047" s="58" t="s">
        <v>232</v>
      </c>
      <c r="O1047" s="58" t="s">
        <v>316</v>
      </c>
      <c r="P1047" s="7">
        <v>240</v>
      </c>
      <c r="Q1047" s="124">
        <v>1190</v>
      </c>
      <c r="R1047" s="126">
        <v>0</v>
      </c>
      <c r="S1047" s="126">
        <v>0</v>
      </c>
    </row>
    <row r="1048" spans="1:19" s="113" customFormat="1" ht="19.5">
      <c r="A1048" s="89"/>
      <c r="B1048" s="90"/>
      <c r="C1048" s="89"/>
      <c r="D1048" s="97"/>
      <c r="E1048" s="98"/>
      <c r="F1048" s="98"/>
      <c r="G1048" s="84"/>
      <c r="H1048" s="222" t="s">
        <v>21</v>
      </c>
      <c r="I1048" s="99">
        <v>674</v>
      </c>
      <c r="J1048" s="94">
        <v>5</v>
      </c>
      <c r="K1048" s="86">
        <v>3</v>
      </c>
      <c r="L1048" s="87"/>
      <c r="M1048" s="88"/>
      <c r="N1048" s="88"/>
      <c r="O1048" s="88"/>
      <c r="P1048" s="93"/>
      <c r="Q1048" s="127">
        <f>Q1055+Q1049</f>
        <v>20099.3</v>
      </c>
      <c r="R1048" s="127">
        <f>R1055+R1049</f>
        <v>6826.7</v>
      </c>
      <c r="S1048" s="127">
        <f>S1055+S1049</f>
        <v>6501.7</v>
      </c>
    </row>
    <row r="1049" spans="1:19" s="113" customFormat="1" ht="31.5">
      <c r="A1049" s="89"/>
      <c r="B1049" s="90"/>
      <c r="C1049" s="89"/>
      <c r="D1049" s="97"/>
      <c r="E1049" s="98"/>
      <c r="F1049" s="98"/>
      <c r="G1049" s="84"/>
      <c r="H1049" s="2" t="s">
        <v>522</v>
      </c>
      <c r="I1049" s="9">
        <v>674</v>
      </c>
      <c r="J1049" s="11">
        <v>5</v>
      </c>
      <c r="K1049" s="11">
        <v>3</v>
      </c>
      <c r="L1049" s="57" t="s">
        <v>494</v>
      </c>
      <c r="M1049" s="58" t="s">
        <v>220</v>
      </c>
      <c r="N1049" s="58" t="s">
        <v>229</v>
      </c>
      <c r="O1049" s="58" t="s">
        <v>261</v>
      </c>
      <c r="P1049" s="93"/>
      <c r="Q1049" s="126">
        <f aca="true" t="shared" si="119" ref="Q1049:S1051">Q1050</f>
        <v>12817.2</v>
      </c>
      <c r="R1049" s="126">
        <f t="shared" si="119"/>
        <v>0</v>
      </c>
      <c r="S1049" s="126">
        <f t="shared" si="119"/>
        <v>0</v>
      </c>
    </row>
    <row r="1050" spans="1:19" s="113" customFormat="1" ht="31.5">
      <c r="A1050" s="89"/>
      <c r="B1050" s="90"/>
      <c r="C1050" s="89"/>
      <c r="D1050" s="97"/>
      <c r="E1050" s="98"/>
      <c r="F1050" s="98"/>
      <c r="G1050" s="84"/>
      <c r="H1050" s="2" t="s">
        <v>901</v>
      </c>
      <c r="I1050" s="9">
        <v>674</v>
      </c>
      <c r="J1050" s="11">
        <v>5</v>
      </c>
      <c r="K1050" s="11">
        <v>3</v>
      </c>
      <c r="L1050" s="57" t="s">
        <v>494</v>
      </c>
      <c r="M1050" s="58" t="s">
        <v>220</v>
      </c>
      <c r="N1050" s="58" t="s">
        <v>232</v>
      </c>
      <c r="O1050" s="58" t="s">
        <v>261</v>
      </c>
      <c r="P1050" s="93"/>
      <c r="Q1050" s="126">
        <f>Q1051+Q1053</f>
        <v>12817.2</v>
      </c>
      <c r="R1050" s="126">
        <f>R1051+R1053</f>
        <v>0</v>
      </c>
      <c r="S1050" s="126">
        <f>S1051+S1053</f>
        <v>0</v>
      </c>
    </row>
    <row r="1051" spans="1:19" ht="18.75" hidden="1">
      <c r="A1051" s="61"/>
      <c r="B1051" s="60"/>
      <c r="C1051" s="59"/>
      <c r="D1051" s="69"/>
      <c r="E1051" s="64"/>
      <c r="F1051" s="64"/>
      <c r="G1051" s="51"/>
      <c r="H1051" s="303" t="s">
        <v>462</v>
      </c>
      <c r="I1051" s="5">
        <v>674</v>
      </c>
      <c r="J1051" s="13">
        <v>5</v>
      </c>
      <c r="K1051" s="11">
        <v>3</v>
      </c>
      <c r="L1051" s="57" t="s">
        <v>494</v>
      </c>
      <c r="M1051" s="58" t="s">
        <v>220</v>
      </c>
      <c r="N1051" s="58" t="s">
        <v>232</v>
      </c>
      <c r="O1051" s="58" t="s">
        <v>926</v>
      </c>
      <c r="P1051" s="3"/>
      <c r="Q1051" s="126">
        <f t="shared" si="119"/>
        <v>0</v>
      </c>
      <c r="R1051" s="126">
        <f t="shared" si="119"/>
        <v>0</v>
      </c>
      <c r="S1051" s="126">
        <f t="shared" si="119"/>
        <v>0</v>
      </c>
    </row>
    <row r="1052" spans="1:19" ht="18.75" hidden="1">
      <c r="A1052" s="61"/>
      <c r="B1052" s="60"/>
      <c r="C1052" s="59"/>
      <c r="D1052" s="69"/>
      <c r="E1052" s="64"/>
      <c r="F1052" s="64"/>
      <c r="G1052" s="51"/>
      <c r="H1052" s="2" t="s">
        <v>299</v>
      </c>
      <c r="I1052" s="5">
        <v>674</v>
      </c>
      <c r="J1052" s="13">
        <v>5</v>
      </c>
      <c r="K1052" s="11">
        <v>3</v>
      </c>
      <c r="L1052" s="57" t="s">
        <v>494</v>
      </c>
      <c r="M1052" s="58" t="s">
        <v>220</v>
      </c>
      <c r="N1052" s="58" t="s">
        <v>232</v>
      </c>
      <c r="O1052" s="58" t="s">
        <v>926</v>
      </c>
      <c r="P1052" s="3">
        <v>240</v>
      </c>
      <c r="Q1052" s="126">
        <f>4897.5-4897.5</f>
        <v>0</v>
      </c>
      <c r="R1052" s="126">
        <v>0</v>
      </c>
      <c r="S1052" s="126">
        <v>0</v>
      </c>
    </row>
    <row r="1053" spans="1:19" ht="18.75">
      <c r="A1053" s="61"/>
      <c r="B1053" s="60"/>
      <c r="C1053" s="59"/>
      <c r="D1053" s="69"/>
      <c r="E1053" s="64"/>
      <c r="F1053" s="64"/>
      <c r="G1053" s="51"/>
      <c r="H1053" s="303" t="s">
        <v>462</v>
      </c>
      <c r="I1053" s="5">
        <v>674</v>
      </c>
      <c r="J1053" s="13">
        <v>5</v>
      </c>
      <c r="K1053" s="11">
        <v>3</v>
      </c>
      <c r="L1053" s="57" t="s">
        <v>494</v>
      </c>
      <c r="M1053" s="58" t="s">
        <v>220</v>
      </c>
      <c r="N1053" s="58" t="s">
        <v>232</v>
      </c>
      <c r="O1053" s="58" t="s">
        <v>316</v>
      </c>
      <c r="P1053" s="3"/>
      <c r="Q1053" s="126">
        <f>Q1054</f>
        <v>12817.2</v>
      </c>
      <c r="R1053" s="126">
        <f>R1054</f>
        <v>0</v>
      </c>
      <c r="S1053" s="126">
        <f>S1054</f>
        <v>0</v>
      </c>
    </row>
    <row r="1054" spans="1:19" ht="18.75">
      <c r="A1054" s="61"/>
      <c r="B1054" s="60"/>
      <c r="C1054" s="59"/>
      <c r="D1054" s="69"/>
      <c r="E1054" s="64"/>
      <c r="F1054" s="64"/>
      <c r="G1054" s="51"/>
      <c r="H1054" s="2" t="s">
        <v>299</v>
      </c>
      <c r="I1054" s="5">
        <v>674</v>
      </c>
      <c r="J1054" s="13">
        <v>5</v>
      </c>
      <c r="K1054" s="11">
        <v>3</v>
      </c>
      <c r="L1054" s="57" t="s">
        <v>494</v>
      </c>
      <c r="M1054" s="58" t="s">
        <v>220</v>
      </c>
      <c r="N1054" s="58" t="s">
        <v>232</v>
      </c>
      <c r="O1054" s="58" t="s">
        <v>316</v>
      </c>
      <c r="P1054" s="3">
        <v>240</v>
      </c>
      <c r="Q1054" s="126">
        <v>12817.2</v>
      </c>
      <c r="R1054" s="126">
        <v>0</v>
      </c>
      <c r="S1054" s="126">
        <v>0</v>
      </c>
    </row>
    <row r="1055" spans="1:19" ht="31.5">
      <c r="A1055" s="59"/>
      <c r="B1055" s="60"/>
      <c r="C1055" s="59"/>
      <c r="D1055" s="63"/>
      <c r="E1055" s="77"/>
      <c r="F1055" s="77"/>
      <c r="G1055" s="51"/>
      <c r="H1055" s="70" t="s">
        <v>567</v>
      </c>
      <c r="I1055" s="5">
        <v>674</v>
      </c>
      <c r="J1055" s="13">
        <v>5</v>
      </c>
      <c r="K1055" s="11">
        <v>3</v>
      </c>
      <c r="L1055" s="57" t="s">
        <v>507</v>
      </c>
      <c r="M1055" s="58" t="s">
        <v>220</v>
      </c>
      <c r="N1055" s="58" t="s">
        <v>229</v>
      </c>
      <c r="O1055" s="58" t="s">
        <v>261</v>
      </c>
      <c r="P1055" s="3"/>
      <c r="Q1055" s="126">
        <f>Q1056+Q1059+Q1062+Q1067</f>
        <v>7282.099999999999</v>
      </c>
      <c r="R1055" s="126">
        <f>R1056+R1059+R1062+R1067</f>
        <v>6826.7</v>
      </c>
      <c r="S1055" s="126">
        <f>S1056+S1059+S1062+S1067</f>
        <v>6501.7</v>
      </c>
    </row>
    <row r="1056" spans="1:19" ht="31.5">
      <c r="A1056" s="59"/>
      <c r="B1056" s="60"/>
      <c r="C1056" s="59"/>
      <c r="D1056" s="63"/>
      <c r="E1056" s="77"/>
      <c r="F1056" s="77"/>
      <c r="G1056" s="51"/>
      <c r="H1056" s="2" t="s">
        <v>869</v>
      </c>
      <c r="I1056" s="5">
        <v>674</v>
      </c>
      <c r="J1056" s="4">
        <v>5</v>
      </c>
      <c r="K1056" s="11">
        <v>3</v>
      </c>
      <c r="L1056" s="57" t="s">
        <v>507</v>
      </c>
      <c r="M1056" s="58" t="s">
        <v>220</v>
      </c>
      <c r="N1056" s="58" t="s">
        <v>221</v>
      </c>
      <c r="O1056" s="58" t="s">
        <v>261</v>
      </c>
      <c r="P1056" s="3"/>
      <c r="Q1056" s="126">
        <f aca="true" t="shared" si="120" ref="Q1056:S1057">Q1057</f>
        <v>981.5</v>
      </c>
      <c r="R1056" s="126">
        <f t="shared" si="120"/>
        <v>650</v>
      </c>
      <c r="S1056" s="126">
        <f t="shared" si="120"/>
        <v>325</v>
      </c>
    </row>
    <row r="1057" spans="1:19" ht="18.75">
      <c r="A1057" s="59"/>
      <c r="B1057" s="60"/>
      <c r="C1057" s="59"/>
      <c r="D1057" s="63"/>
      <c r="E1057" s="77"/>
      <c r="F1057" s="77"/>
      <c r="G1057" s="51"/>
      <c r="H1057" s="2" t="s">
        <v>872</v>
      </c>
      <c r="I1057" s="5">
        <v>674</v>
      </c>
      <c r="J1057" s="4">
        <v>5</v>
      </c>
      <c r="K1057" s="11">
        <v>3</v>
      </c>
      <c r="L1057" s="57" t="s">
        <v>507</v>
      </c>
      <c r="M1057" s="58" t="s">
        <v>220</v>
      </c>
      <c r="N1057" s="58" t="s">
        <v>221</v>
      </c>
      <c r="O1057" s="58" t="s">
        <v>873</v>
      </c>
      <c r="P1057" s="3"/>
      <c r="Q1057" s="126">
        <f t="shared" si="120"/>
        <v>981.5</v>
      </c>
      <c r="R1057" s="126">
        <f t="shared" si="120"/>
        <v>650</v>
      </c>
      <c r="S1057" s="126">
        <f t="shared" si="120"/>
        <v>325</v>
      </c>
    </row>
    <row r="1058" spans="1:19" ht="18.75">
      <c r="A1058" s="59"/>
      <c r="B1058" s="60"/>
      <c r="C1058" s="59"/>
      <c r="D1058" s="63"/>
      <c r="E1058" s="77"/>
      <c r="F1058" s="77"/>
      <c r="G1058" s="51"/>
      <c r="H1058" s="2" t="s">
        <v>299</v>
      </c>
      <c r="I1058" s="5">
        <v>674</v>
      </c>
      <c r="J1058" s="4">
        <v>5</v>
      </c>
      <c r="K1058" s="11">
        <v>3</v>
      </c>
      <c r="L1058" s="57" t="s">
        <v>507</v>
      </c>
      <c r="M1058" s="58" t="s">
        <v>220</v>
      </c>
      <c r="N1058" s="58" t="s">
        <v>221</v>
      </c>
      <c r="O1058" s="58" t="s">
        <v>873</v>
      </c>
      <c r="P1058" s="3">
        <v>240</v>
      </c>
      <c r="Q1058" s="126">
        <f>325+109.9+546.6</f>
        <v>981.5</v>
      </c>
      <c r="R1058" s="126">
        <v>650</v>
      </c>
      <c r="S1058" s="126">
        <v>325</v>
      </c>
    </row>
    <row r="1059" spans="1:19" ht="18.75">
      <c r="A1059" s="59"/>
      <c r="B1059" s="60"/>
      <c r="C1059" s="59"/>
      <c r="D1059" s="63"/>
      <c r="E1059" s="77"/>
      <c r="F1059" s="77"/>
      <c r="G1059" s="51"/>
      <c r="H1059" s="2" t="s">
        <v>961</v>
      </c>
      <c r="I1059" s="5">
        <v>674</v>
      </c>
      <c r="J1059" s="4">
        <v>5</v>
      </c>
      <c r="K1059" s="11">
        <v>3</v>
      </c>
      <c r="L1059" s="57" t="s">
        <v>507</v>
      </c>
      <c r="M1059" s="58" t="s">
        <v>220</v>
      </c>
      <c r="N1059" s="58" t="s">
        <v>236</v>
      </c>
      <c r="O1059" s="58" t="s">
        <v>261</v>
      </c>
      <c r="P1059" s="3"/>
      <c r="Q1059" s="126">
        <f aca="true" t="shared" si="121" ref="Q1059:S1060">Q1060</f>
        <v>0</v>
      </c>
      <c r="R1059" s="126">
        <f t="shared" si="121"/>
        <v>2120</v>
      </c>
      <c r="S1059" s="126">
        <f t="shared" si="121"/>
        <v>2120</v>
      </c>
    </row>
    <row r="1060" spans="1:19" ht="18.75">
      <c r="A1060" s="59"/>
      <c r="B1060" s="60"/>
      <c r="C1060" s="59"/>
      <c r="D1060" s="63"/>
      <c r="E1060" s="77"/>
      <c r="F1060" s="77"/>
      <c r="G1060" s="51"/>
      <c r="H1060" s="2" t="s">
        <v>877</v>
      </c>
      <c r="I1060" s="5">
        <v>674</v>
      </c>
      <c r="J1060" s="4">
        <v>5</v>
      </c>
      <c r="K1060" s="11">
        <v>3</v>
      </c>
      <c r="L1060" s="57" t="s">
        <v>507</v>
      </c>
      <c r="M1060" s="58" t="s">
        <v>220</v>
      </c>
      <c r="N1060" s="58" t="s">
        <v>236</v>
      </c>
      <c r="O1060" s="58" t="s">
        <v>873</v>
      </c>
      <c r="P1060" s="3"/>
      <c r="Q1060" s="126">
        <f t="shared" si="121"/>
        <v>0</v>
      </c>
      <c r="R1060" s="126">
        <f t="shared" si="121"/>
        <v>2120</v>
      </c>
      <c r="S1060" s="126">
        <f t="shared" si="121"/>
        <v>2120</v>
      </c>
    </row>
    <row r="1061" spans="1:19" ht="18.75">
      <c r="A1061" s="59"/>
      <c r="B1061" s="60"/>
      <c r="C1061" s="59"/>
      <c r="D1061" s="63"/>
      <c r="E1061" s="77"/>
      <c r="F1061" s="77"/>
      <c r="G1061" s="51"/>
      <c r="H1061" s="2" t="s">
        <v>299</v>
      </c>
      <c r="I1061" s="5">
        <v>674</v>
      </c>
      <c r="J1061" s="4">
        <v>5</v>
      </c>
      <c r="K1061" s="11">
        <v>3</v>
      </c>
      <c r="L1061" s="57" t="s">
        <v>507</v>
      </c>
      <c r="M1061" s="58" t="s">
        <v>220</v>
      </c>
      <c r="N1061" s="58" t="s">
        <v>236</v>
      </c>
      <c r="O1061" s="58" t="s">
        <v>873</v>
      </c>
      <c r="P1061" s="3">
        <v>240</v>
      </c>
      <c r="Q1061" s="126">
        <f>1100-1100</f>
        <v>0</v>
      </c>
      <c r="R1061" s="126">
        <v>2120</v>
      </c>
      <c r="S1061" s="126">
        <v>2120</v>
      </c>
    </row>
    <row r="1062" spans="1:19" ht="18.75">
      <c r="A1062" s="59"/>
      <c r="B1062" s="60"/>
      <c r="C1062" s="59"/>
      <c r="D1062" s="63"/>
      <c r="E1062" s="77"/>
      <c r="F1062" s="77"/>
      <c r="G1062" s="51"/>
      <c r="H1062" s="8" t="s">
        <v>1092</v>
      </c>
      <c r="I1062" s="5">
        <v>674</v>
      </c>
      <c r="J1062" s="13">
        <v>5</v>
      </c>
      <c r="K1062" s="11">
        <v>3</v>
      </c>
      <c r="L1062" s="57" t="s">
        <v>507</v>
      </c>
      <c r="M1062" s="58" t="s">
        <v>220</v>
      </c>
      <c r="N1062" s="58" t="s">
        <v>237</v>
      </c>
      <c r="O1062" s="58" t="s">
        <v>261</v>
      </c>
      <c r="P1062" s="3"/>
      <c r="Q1062" s="126">
        <f>Q1063+Q1065</f>
        <v>5932.099999999999</v>
      </c>
      <c r="R1062" s="126">
        <f>R1063+R1065</f>
        <v>4056.7</v>
      </c>
      <c r="S1062" s="126">
        <f>S1063+S1065</f>
        <v>4056.7</v>
      </c>
    </row>
    <row r="1063" spans="1:19" ht="18.75">
      <c r="A1063" s="59"/>
      <c r="B1063" s="60"/>
      <c r="C1063" s="59"/>
      <c r="D1063" s="63"/>
      <c r="E1063" s="77"/>
      <c r="F1063" s="77"/>
      <c r="G1063" s="51"/>
      <c r="H1063" s="70" t="s">
        <v>568</v>
      </c>
      <c r="I1063" s="5">
        <v>674</v>
      </c>
      <c r="J1063" s="13">
        <v>5</v>
      </c>
      <c r="K1063" s="11">
        <v>3</v>
      </c>
      <c r="L1063" s="57" t="s">
        <v>507</v>
      </c>
      <c r="M1063" s="58" t="s">
        <v>220</v>
      </c>
      <c r="N1063" s="58" t="s">
        <v>237</v>
      </c>
      <c r="O1063" s="58" t="s">
        <v>508</v>
      </c>
      <c r="P1063" s="3"/>
      <c r="Q1063" s="126">
        <f>Q1064</f>
        <v>4056.7</v>
      </c>
      <c r="R1063" s="126">
        <f>R1064</f>
        <v>4056.7</v>
      </c>
      <c r="S1063" s="126">
        <f>S1064</f>
        <v>4056.7</v>
      </c>
    </row>
    <row r="1064" spans="1:19" ht="18.75">
      <c r="A1064" s="59"/>
      <c r="B1064" s="60"/>
      <c r="C1064" s="59"/>
      <c r="D1064" s="63"/>
      <c r="E1064" s="77"/>
      <c r="F1064" s="77"/>
      <c r="G1064" s="51"/>
      <c r="H1064" s="2" t="s">
        <v>299</v>
      </c>
      <c r="I1064" s="5">
        <v>674</v>
      </c>
      <c r="J1064" s="13">
        <v>5</v>
      </c>
      <c r="K1064" s="11">
        <v>3</v>
      </c>
      <c r="L1064" s="57" t="s">
        <v>507</v>
      </c>
      <c r="M1064" s="58" t="s">
        <v>220</v>
      </c>
      <c r="N1064" s="58" t="s">
        <v>237</v>
      </c>
      <c r="O1064" s="58" t="s">
        <v>508</v>
      </c>
      <c r="P1064" s="3">
        <v>240</v>
      </c>
      <c r="Q1064" s="126">
        <v>4056.7</v>
      </c>
      <c r="R1064" s="126">
        <v>4056.7</v>
      </c>
      <c r="S1064" s="126">
        <v>4056.7</v>
      </c>
    </row>
    <row r="1065" spans="1:19" ht="18.75">
      <c r="A1065" s="59"/>
      <c r="B1065" s="60"/>
      <c r="C1065" s="59"/>
      <c r="D1065" s="63"/>
      <c r="E1065" s="77"/>
      <c r="F1065" s="77"/>
      <c r="G1065" s="51"/>
      <c r="H1065" s="2" t="s">
        <v>1062</v>
      </c>
      <c r="I1065" s="5">
        <v>674</v>
      </c>
      <c r="J1065" s="11">
        <v>5</v>
      </c>
      <c r="K1065" s="11">
        <v>3</v>
      </c>
      <c r="L1065" s="57" t="s">
        <v>507</v>
      </c>
      <c r="M1065" s="58" t="s">
        <v>220</v>
      </c>
      <c r="N1065" s="58" t="s">
        <v>237</v>
      </c>
      <c r="O1065" s="58" t="s">
        <v>1061</v>
      </c>
      <c r="P1065" s="3"/>
      <c r="Q1065" s="126">
        <f>Q1066</f>
        <v>1875.3999999999999</v>
      </c>
      <c r="R1065" s="126">
        <f>R1066</f>
        <v>0</v>
      </c>
      <c r="S1065" s="126">
        <f>S1066</f>
        <v>0</v>
      </c>
    </row>
    <row r="1066" spans="1:19" ht="18.75">
      <c r="A1066" s="59"/>
      <c r="B1066" s="60"/>
      <c r="C1066" s="59"/>
      <c r="D1066" s="63"/>
      <c r="E1066" s="77"/>
      <c r="F1066" s="77"/>
      <c r="G1066" s="51"/>
      <c r="H1066" s="2" t="s">
        <v>299</v>
      </c>
      <c r="I1066" s="5">
        <v>674</v>
      </c>
      <c r="J1066" s="11">
        <v>5</v>
      </c>
      <c r="K1066" s="11">
        <v>3</v>
      </c>
      <c r="L1066" s="57" t="s">
        <v>507</v>
      </c>
      <c r="M1066" s="58" t="s">
        <v>220</v>
      </c>
      <c r="N1066" s="58" t="s">
        <v>237</v>
      </c>
      <c r="O1066" s="58" t="s">
        <v>1061</v>
      </c>
      <c r="P1066" s="3">
        <v>240</v>
      </c>
      <c r="Q1066" s="126">
        <f>2117.1+65.5-307.2</f>
        <v>1875.3999999999999</v>
      </c>
      <c r="R1066" s="126">
        <v>0</v>
      </c>
      <c r="S1066" s="126">
        <v>0</v>
      </c>
    </row>
    <row r="1067" spans="1:19" ht="31.5">
      <c r="A1067" s="59"/>
      <c r="B1067" s="60"/>
      <c r="C1067" s="59"/>
      <c r="D1067" s="63"/>
      <c r="E1067" s="77"/>
      <c r="F1067" s="77"/>
      <c r="G1067" s="51"/>
      <c r="H1067" s="70" t="s">
        <v>588</v>
      </c>
      <c r="I1067" s="5">
        <v>674</v>
      </c>
      <c r="J1067" s="13">
        <v>5</v>
      </c>
      <c r="K1067" s="11">
        <v>3</v>
      </c>
      <c r="L1067" s="57" t="s">
        <v>507</v>
      </c>
      <c r="M1067" s="58" t="s">
        <v>220</v>
      </c>
      <c r="N1067" s="58" t="s">
        <v>232</v>
      </c>
      <c r="O1067" s="58" t="s">
        <v>261</v>
      </c>
      <c r="P1067" s="3"/>
      <c r="Q1067" s="126">
        <f aca="true" t="shared" si="122" ref="Q1067:S1068">Q1068</f>
        <v>368.5</v>
      </c>
      <c r="R1067" s="126">
        <f t="shared" si="122"/>
        <v>0</v>
      </c>
      <c r="S1067" s="126">
        <f t="shared" si="122"/>
        <v>0</v>
      </c>
    </row>
    <row r="1068" spans="1:19" ht="31.5">
      <c r="A1068" s="59"/>
      <c r="B1068" s="60"/>
      <c r="C1068" s="59"/>
      <c r="D1068" s="63"/>
      <c r="E1068" s="77"/>
      <c r="F1068" s="77"/>
      <c r="G1068" s="51"/>
      <c r="H1068" s="70" t="s">
        <v>589</v>
      </c>
      <c r="I1068" s="5">
        <v>674</v>
      </c>
      <c r="J1068" s="13">
        <v>5</v>
      </c>
      <c r="K1068" s="11">
        <v>3</v>
      </c>
      <c r="L1068" s="57" t="s">
        <v>507</v>
      </c>
      <c r="M1068" s="58" t="s">
        <v>220</v>
      </c>
      <c r="N1068" s="58" t="s">
        <v>232</v>
      </c>
      <c r="O1068" s="58" t="s">
        <v>514</v>
      </c>
      <c r="P1068" s="3"/>
      <c r="Q1068" s="126">
        <f t="shared" si="122"/>
        <v>368.5</v>
      </c>
      <c r="R1068" s="126">
        <f t="shared" si="122"/>
        <v>0</v>
      </c>
      <c r="S1068" s="126">
        <f t="shared" si="122"/>
        <v>0</v>
      </c>
    </row>
    <row r="1069" spans="1:19" ht="18.75">
      <c r="A1069" s="59"/>
      <c r="B1069" s="60"/>
      <c r="C1069" s="59"/>
      <c r="D1069" s="63"/>
      <c r="E1069" s="77"/>
      <c r="F1069" s="77"/>
      <c r="G1069" s="51"/>
      <c r="H1069" s="2" t="s">
        <v>299</v>
      </c>
      <c r="I1069" s="5">
        <v>674</v>
      </c>
      <c r="J1069" s="13">
        <v>5</v>
      </c>
      <c r="K1069" s="11">
        <v>3</v>
      </c>
      <c r="L1069" s="57" t="s">
        <v>507</v>
      </c>
      <c r="M1069" s="58" t="s">
        <v>220</v>
      </c>
      <c r="N1069" s="58" t="s">
        <v>232</v>
      </c>
      <c r="O1069" s="58" t="s">
        <v>514</v>
      </c>
      <c r="P1069" s="3">
        <v>240</v>
      </c>
      <c r="Q1069" s="126">
        <v>368.5</v>
      </c>
      <c r="R1069" s="126">
        <v>0</v>
      </c>
      <c r="S1069" s="126">
        <v>0</v>
      </c>
    </row>
    <row r="1070" spans="1:19" s="113" customFormat="1" ht="19.5">
      <c r="A1070" s="89"/>
      <c r="B1070" s="90"/>
      <c r="C1070" s="89"/>
      <c r="D1070" s="97"/>
      <c r="E1070" s="98"/>
      <c r="F1070" s="98"/>
      <c r="G1070" s="84"/>
      <c r="H1070" s="354" t="s">
        <v>263</v>
      </c>
      <c r="I1070" s="99">
        <v>674</v>
      </c>
      <c r="J1070" s="94">
        <v>5</v>
      </c>
      <c r="K1070" s="86">
        <v>5</v>
      </c>
      <c r="L1070" s="87"/>
      <c r="M1070" s="88"/>
      <c r="N1070" s="88"/>
      <c r="O1070" s="88"/>
      <c r="P1070" s="93"/>
      <c r="Q1070" s="127">
        <f>Q1071+Q1079</f>
        <v>1417.8</v>
      </c>
      <c r="R1070" s="127">
        <f>R1071+R1079</f>
        <v>0</v>
      </c>
      <c r="S1070" s="127">
        <f>S1071+S1079</f>
        <v>0</v>
      </c>
    </row>
    <row r="1071" spans="1:19" ht="31.5">
      <c r="A1071" s="59"/>
      <c r="B1071" s="60"/>
      <c r="C1071" s="76"/>
      <c r="D1071" s="69"/>
      <c r="E1071" s="64"/>
      <c r="F1071" s="64"/>
      <c r="G1071" s="51"/>
      <c r="H1071" s="2" t="s">
        <v>522</v>
      </c>
      <c r="I1071" s="5">
        <v>674</v>
      </c>
      <c r="J1071" s="13">
        <v>5</v>
      </c>
      <c r="K1071" s="11">
        <v>5</v>
      </c>
      <c r="L1071" s="57" t="s">
        <v>494</v>
      </c>
      <c r="M1071" s="58" t="s">
        <v>220</v>
      </c>
      <c r="N1071" s="58" t="s">
        <v>229</v>
      </c>
      <c r="O1071" s="58" t="s">
        <v>261</v>
      </c>
      <c r="P1071" s="3"/>
      <c r="Q1071" s="126">
        <f>Q1072</f>
        <v>1366.6</v>
      </c>
      <c r="R1071" s="126">
        <f aca="true" t="shared" si="123" ref="R1071:S1073">R1072</f>
        <v>0</v>
      </c>
      <c r="S1071" s="126">
        <f t="shared" si="123"/>
        <v>0</v>
      </c>
    </row>
    <row r="1072" spans="1:19" ht="31.5">
      <c r="A1072" s="59"/>
      <c r="B1072" s="60"/>
      <c r="C1072" s="76"/>
      <c r="D1072" s="73"/>
      <c r="E1072" s="76"/>
      <c r="F1072" s="76"/>
      <c r="G1072" s="51"/>
      <c r="H1072" s="2" t="s">
        <v>901</v>
      </c>
      <c r="I1072" s="9">
        <v>674</v>
      </c>
      <c r="J1072" s="11">
        <v>5</v>
      </c>
      <c r="K1072" s="11">
        <v>5</v>
      </c>
      <c r="L1072" s="57" t="s">
        <v>494</v>
      </c>
      <c r="M1072" s="58" t="s">
        <v>220</v>
      </c>
      <c r="N1072" s="58" t="s">
        <v>232</v>
      </c>
      <c r="O1072" s="58" t="s">
        <v>261</v>
      </c>
      <c r="P1072" s="7"/>
      <c r="Q1072" s="124">
        <f>Q1073+Q1077+Q1075</f>
        <v>1366.6</v>
      </c>
      <c r="R1072" s="124">
        <f>R1073+R1077+R1075</f>
        <v>0</v>
      </c>
      <c r="S1072" s="124">
        <f>S1073+S1077+S1075</f>
        <v>0</v>
      </c>
    </row>
    <row r="1073" spans="1:19" ht="47.25">
      <c r="A1073" s="59"/>
      <c r="B1073" s="60"/>
      <c r="C1073" s="76"/>
      <c r="D1073" s="73"/>
      <c r="E1073" s="76"/>
      <c r="F1073" s="76"/>
      <c r="G1073" s="51"/>
      <c r="H1073" s="2" t="s">
        <v>570</v>
      </c>
      <c r="I1073" s="9">
        <v>674</v>
      </c>
      <c r="J1073" s="11">
        <v>5</v>
      </c>
      <c r="K1073" s="11">
        <v>5</v>
      </c>
      <c r="L1073" s="57" t="s">
        <v>494</v>
      </c>
      <c r="M1073" s="58" t="s">
        <v>220</v>
      </c>
      <c r="N1073" s="58" t="s">
        <v>232</v>
      </c>
      <c r="O1073" s="58" t="s">
        <v>267</v>
      </c>
      <c r="P1073" s="7"/>
      <c r="Q1073" s="124">
        <f>Q1074</f>
        <v>601.6</v>
      </c>
      <c r="R1073" s="124">
        <f t="shared" si="123"/>
        <v>0</v>
      </c>
      <c r="S1073" s="124">
        <f t="shared" si="123"/>
        <v>0</v>
      </c>
    </row>
    <row r="1074" spans="1:19" ht="18.75">
      <c r="A1074" s="59"/>
      <c r="B1074" s="60"/>
      <c r="C1074" s="76"/>
      <c r="D1074" s="73"/>
      <c r="E1074" s="76"/>
      <c r="F1074" s="76"/>
      <c r="G1074" s="51"/>
      <c r="H1074" s="2" t="s">
        <v>299</v>
      </c>
      <c r="I1074" s="9">
        <v>674</v>
      </c>
      <c r="J1074" s="11">
        <v>5</v>
      </c>
      <c r="K1074" s="11">
        <v>5</v>
      </c>
      <c r="L1074" s="57" t="s">
        <v>494</v>
      </c>
      <c r="M1074" s="58" t="s">
        <v>220</v>
      </c>
      <c r="N1074" s="58" t="s">
        <v>232</v>
      </c>
      <c r="O1074" s="58" t="s">
        <v>267</v>
      </c>
      <c r="P1074" s="7">
        <v>240</v>
      </c>
      <c r="Q1074" s="124">
        <f>19.4+0.1+2+119.3+295.8+165</f>
        <v>601.6</v>
      </c>
      <c r="R1074" s="130">
        <v>0</v>
      </c>
      <c r="S1074" s="130">
        <v>0</v>
      </c>
    </row>
    <row r="1075" spans="1:19" ht="18.75">
      <c r="A1075" s="59"/>
      <c r="B1075" s="60"/>
      <c r="C1075" s="76"/>
      <c r="D1075" s="73"/>
      <c r="E1075" s="76"/>
      <c r="F1075" s="76"/>
      <c r="G1075" s="51"/>
      <c r="H1075" s="2" t="s">
        <v>548</v>
      </c>
      <c r="I1075" s="9">
        <v>674</v>
      </c>
      <c r="J1075" s="11">
        <v>5</v>
      </c>
      <c r="K1075" s="11">
        <v>5</v>
      </c>
      <c r="L1075" s="57" t="s">
        <v>494</v>
      </c>
      <c r="M1075" s="58" t="s">
        <v>220</v>
      </c>
      <c r="N1075" s="58" t="s">
        <v>232</v>
      </c>
      <c r="O1075" s="58" t="s">
        <v>70</v>
      </c>
      <c r="P1075" s="3"/>
      <c r="Q1075" s="126">
        <f>Q1076</f>
        <v>280</v>
      </c>
      <c r="R1075" s="126">
        <f>R1076</f>
        <v>0</v>
      </c>
      <c r="S1075" s="126">
        <f>S1076</f>
        <v>0</v>
      </c>
    </row>
    <row r="1076" spans="1:19" ht="18.75">
      <c r="A1076" s="59"/>
      <c r="B1076" s="60"/>
      <c r="C1076" s="76"/>
      <c r="D1076" s="73"/>
      <c r="E1076" s="76"/>
      <c r="F1076" s="76"/>
      <c r="G1076" s="51"/>
      <c r="H1076" s="2" t="s">
        <v>299</v>
      </c>
      <c r="I1076" s="9">
        <v>674</v>
      </c>
      <c r="J1076" s="11">
        <v>5</v>
      </c>
      <c r="K1076" s="11">
        <v>5</v>
      </c>
      <c r="L1076" s="57" t="s">
        <v>494</v>
      </c>
      <c r="M1076" s="58" t="s">
        <v>220</v>
      </c>
      <c r="N1076" s="58" t="s">
        <v>232</v>
      </c>
      <c r="O1076" s="58" t="s">
        <v>70</v>
      </c>
      <c r="P1076" s="3">
        <v>240</v>
      </c>
      <c r="Q1076" s="126">
        <v>280</v>
      </c>
      <c r="R1076" s="130">
        <v>0</v>
      </c>
      <c r="S1076" s="130">
        <v>0</v>
      </c>
    </row>
    <row r="1077" spans="1:19" ht="18.75">
      <c r="A1077" s="59"/>
      <c r="B1077" s="60"/>
      <c r="C1077" s="76"/>
      <c r="D1077" s="73"/>
      <c r="E1077" s="76"/>
      <c r="F1077" s="76"/>
      <c r="G1077" s="51"/>
      <c r="H1077" s="303" t="s">
        <v>462</v>
      </c>
      <c r="I1077" s="5">
        <v>674</v>
      </c>
      <c r="J1077" s="13">
        <v>5</v>
      </c>
      <c r="K1077" s="11">
        <v>5</v>
      </c>
      <c r="L1077" s="57" t="s">
        <v>494</v>
      </c>
      <c r="M1077" s="58" t="s">
        <v>220</v>
      </c>
      <c r="N1077" s="58" t="s">
        <v>232</v>
      </c>
      <c r="O1077" s="58" t="s">
        <v>316</v>
      </c>
      <c r="P1077" s="3"/>
      <c r="Q1077" s="126">
        <f>Q1078</f>
        <v>485</v>
      </c>
      <c r="R1077" s="126">
        <f>R1078</f>
        <v>0</v>
      </c>
      <c r="S1077" s="126">
        <f>S1078</f>
        <v>0</v>
      </c>
    </row>
    <row r="1078" spans="1:19" ht="18.75">
      <c r="A1078" s="59"/>
      <c r="B1078" s="60"/>
      <c r="C1078" s="76"/>
      <c r="D1078" s="73"/>
      <c r="E1078" s="76"/>
      <c r="F1078" s="76"/>
      <c r="G1078" s="51"/>
      <c r="H1078" s="2" t="s">
        <v>299</v>
      </c>
      <c r="I1078" s="5">
        <v>674</v>
      </c>
      <c r="J1078" s="13">
        <v>5</v>
      </c>
      <c r="K1078" s="11">
        <v>5</v>
      </c>
      <c r="L1078" s="57" t="s">
        <v>494</v>
      </c>
      <c r="M1078" s="58" t="s">
        <v>220</v>
      </c>
      <c r="N1078" s="58" t="s">
        <v>232</v>
      </c>
      <c r="O1078" s="58" t="s">
        <v>316</v>
      </c>
      <c r="P1078" s="3">
        <v>240</v>
      </c>
      <c r="Q1078" s="126">
        <f>145.5+339.5</f>
        <v>485</v>
      </c>
      <c r="R1078" s="130">
        <v>0</v>
      </c>
      <c r="S1078" s="130">
        <v>0</v>
      </c>
    </row>
    <row r="1079" spans="1:19" ht="31.5">
      <c r="A1079" s="59"/>
      <c r="B1079" s="60"/>
      <c r="C1079" s="76"/>
      <c r="D1079" s="73"/>
      <c r="E1079" s="76"/>
      <c r="F1079" s="76"/>
      <c r="G1079" s="51"/>
      <c r="H1079" s="2" t="s">
        <v>540</v>
      </c>
      <c r="I1079" s="9">
        <v>674</v>
      </c>
      <c r="J1079" s="4">
        <v>5</v>
      </c>
      <c r="K1079" s="11">
        <v>5</v>
      </c>
      <c r="L1079" s="57" t="s">
        <v>515</v>
      </c>
      <c r="M1079" s="58" t="s">
        <v>220</v>
      </c>
      <c r="N1079" s="58" t="s">
        <v>229</v>
      </c>
      <c r="O1079" s="58" t="s">
        <v>261</v>
      </c>
      <c r="P1079" s="3"/>
      <c r="Q1079" s="126">
        <f>Q1080</f>
        <v>51.2</v>
      </c>
      <c r="R1079" s="126">
        <f aca="true" t="shared" si="124" ref="R1079:S1081">R1080</f>
        <v>0</v>
      </c>
      <c r="S1079" s="126">
        <f t="shared" si="124"/>
        <v>0</v>
      </c>
    </row>
    <row r="1080" spans="1:19" ht="31.5">
      <c r="A1080" s="59"/>
      <c r="B1080" s="60"/>
      <c r="C1080" s="76"/>
      <c r="D1080" s="73"/>
      <c r="E1080" s="76"/>
      <c r="F1080" s="76"/>
      <c r="G1080" s="51"/>
      <c r="H1080" s="2" t="s">
        <v>571</v>
      </c>
      <c r="I1080" s="9">
        <v>674</v>
      </c>
      <c r="J1080" s="4">
        <v>5</v>
      </c>
      <c r="K1080" s="11">
        <v>5</v>
      </c>
      <c r="L1080" s="57" t="s">
        <v>515</v>
      </c>
      <c r="M1080" s="58" t="s">
        <v>220</v>
      </c>
      <c r="N1080" s="58" t="s">
        <v>221</v>
      </c>
      <c r="O1080" s="58" t="s">
        <v>261</v>
      </c>
      <c r="P1080" s="3"/>
      <c r="Q1080" s="126">
        <f>Q1081</f>
        <v>51.2</v>
      </c>
      <c r="R1080" s="126">
        <f t="shared" si="124"/>
        <v>0</v>
      </c>
      <c r="S1080" s="126">
        <f t="shared" si="124"/>
        <v>0</v>
      </c>
    </row>
    <row r="1081" spans="1:19" ht="47.25">
      <c r="A1081" s="59"/>
      <c r="B1081" s="60"/>
      <c r="C1081" s="76"/>
      <c r="D1081" s="73"/>
      <c r="E1081" s="76"/>
      <c r="F1081" s="76"/>
      <c r="G1081" s="51"/>
      <c r="H1081" s="2" t="s">
        <v>848</v>
      </c>
      <c r="I1081" s="9">
        <v>674</v>
      </c>
      <c r="J1081" s="4">
        <v>5</v>
      </c>
      <c r="K1081" s="11">
        <v>5</v>
      </c>
      <c r="L1081" s="57" t="s">
        <v>515</v>
      </c>
      <c r="M1081" s="58" t="s">
        <v>220</v>
      </c>
      <c r="N1081" s="58" t="s">
        <v>221</v>
      </c>
      <c r="O1081" s="58" t="s">
        <v>10</v>
      </c>
      <c r="P1081" s="3"/>
      <c r="Q1081" s="126">
        <f>Q1082+Q1083</f>
        <v>51.2</v>
      </c>
      <c r="R1081" s="126">
        <f t="shared" si="124"/>
        <v>0</v>
      </c>
      <c r="S1081" s="126">
        <f t="shared" si="124"/>
        <v>0</v>
      </c>
    </row>
    <row r="1082" spans="1:19" ht="18.75">
      <c r="A1082" s="61"/>
      <c r="B1082" s="60"/>
      <c r="C1082" s="59"/>
      <c r="D1082" s="63"/>
      <c r="E1082" s="77"/>
      <c r="F1082" s="77"/>
      <c r="G1082" s="51"/>
      <c r="H1082" s="2" t="s">
        <v>299</v>
      </c>
      <c r="I1082" s="5">
        <v>674</v>
      </c>
      <c r="J1082" s="13">
        <v>5</v>
      </c>
      <c r="K1082" s="11">
        <v>5</v>
      </c>
      <c r="L1082" s="57" t="s">
        <v>515</v>
      </c>
      <c r="M1082" s="58" t="s">
        <v>220</v>
      </c>
      <c r="N1082" s="58" t="s">
        <v>221</v>
      </c>
      <c r="O1082" s="58" t="s">
        <v>10</v>
      </c>
      <c r="P1082" s="3">
        <v>240</v>
      </c>
      <c r="Q1082" s="126">
        <f>4.3+25+21.6</f>
        <v>50.900000000000006</v>
      </c>
      <c r="R1082" s="126">
        <v>0</v>
      </c>
      <c r="S1082" s="126">
        <v>0</v>
      </c>
    </row>
    <row r="1083" spans="1:19" ht="18.75">
      <c r="A1083" s="61"/>
      <c r="B1083" s="60"/>
      <c r="C1083" s="59"/>
      <c r="D1083" s="63"/>
      <c r="E1083" s="64"/>
      <c r="F1083" s="64"/>
      <c r="G1083" s="51"/>
      <c r="H1083" s="2" t="s">
        <v>300</v>
      </c>
      <c r="I1083" s="5">
        <v>674</v>
      </c>
      <c r="J1083" s="13">
        <v>5</v>
      </c>
      <c r="K1083" s="11">
        <v>5</v>
      </c>
      <c r="L1083" s="57" t="s">
        <v>515</v>
      </c>
      <c r="M1083" s="58" t="s">
        <v>220</v>
      </c>
      <c r="N1083" s="58" t="s">
        <v>221</v>
      </c>
      <c r="O1083" s="58" t="s">
        <v>10</v>
      </c>
      <c r="P1083" s="3">
        <v>850</v>
      </c>
      <c r="Q1083" s="126">
        <v>0.3</v>
      </c>
      <c r="R1083" s="126">
        <v>0</v>
      </c>
      <c r="S1083" s="126">
        <v>0</v>
      </c>
    </row>
    <row r="1084" spans="1:19" s="113" customFormat="1" ht="19.5">
      <c r="A1084" s="89"/>
      <c r="B1084" s="90"/>
      <c r="C1084" s="89"/>
      <c r="D1084" s="97"/>
      <c r="E1084" s="196"/>
      <c r="F1084" s="196"/>
      <c r="G1084" s="84"/>
      <c r="H1084" s="96" t="s">
        <v>1040</v>
      </c>
      <c r="I1084" s="99">
        <v>674</v>
      </c>
      <c r="J1084" s="94">
        <v>8</v>
      </c>
      <c r="K1084" s="86"/>
      <c r="L1084" s="87"/>
      <c r="M1084" s="88"/>
      <c r="N1084" s="88"/>
      <c r="O1084" s="88"/>
      <c r="P1084" s="93"/>
      <c r="Q1084" s="127">
        <f aca="true" t="shared" si="125" ref="Q1084:S1088">Q1085</f>
        <v>289.9</v>
      </c>
      <c r="R1084" s="127">
        <f t="shared" si="125"/>
        <v>0</v>
      </c>
      <c r="S1084" s="127">
        <f t="shared" si="125"/>
        <v>0</v>
      </c>
    </row>
    <row r="1085" spans="1:19" s="113" customFormat="1" ht="19.5">
      <c r="A1085" s="89"/>
      <c r="B1085" s="90"/>
      <c r="C1085" s="89"/>
      <c r="D1085" s="97"/>
      <c r="E1085" s="196"/>
      <c r="F1085" s="196"/>
      <c r="G1085" s="84"/>
      <c r="H1085" s="96" t="s">
        <v>82</v>
      </c>
      <c r="I1085" s="99">
        <v>674</v>
      </c>
      <c r="J1085" s="94">
        <v>8</v>
      </c>
      <c r="K1085" s="86">
        <v>1</v>
      </c>
      <c r="L1085" s="87"/>
      <c r="M1085" s="88"/>
      <c r="N1085" s="88"/>
      <c r="O1085" s="88"/>
      <c r="P1085" s="93"/>
      <c r="Q1085" s="127">
        <f t="shared" si="125"/>
        <v>289.9</v>
      </c>
      <c r="R1085" s="127">
        <f t="shared" si="125"/>
        <v>0</v>
      </c>
      <c r="S1085" s="127">
        <f t="shared" si="125"/>
        <v>0</v>
      </c>
    </row>
    <row r="1086" spans="1:19" ht="31.5">
      <c r="A1086" s="61"/>
      <c r="B1086" s="60"/>
      <c r="C1086" s="59"/>
      <c r="D1086" s="63"/>
      <c r="E1086" s="64"/>
      <c r="F1086" s="64"/>
      <c r="G1086" s="51"/>
      <c r="H1086" s="2" t="s">
        <v>522</v>
      </c>
      <c r="I1086" s="5">
        <v>674</v>
      </c>
      <c r="J1086" s="13">
        <v>8</v>
      </c>
      <c r="K1086" s="11">
        <v>1</v>
      </c>
      <c r="L1086" s="57" t="s">
        <v>494</v>
      </c>
      <c r="M1086" s="58" t="s">
        <v>220</v>
      </c>
      <c r="N1086" s="58" t="s">
        <v>229</v>
      </c>
      <c r="O1086" s="58" t="s">
        <v>261</v>
      </c>
      <c r="P1086" s="3"/>
      <c r="Q1086" s="126">
        <f t="shared" si="125"/>
        <v>289.9</v>
      </c>
      <c r="R1086" s="126">
        <f t="shared" si="125"/>
        <v>0</v>
      </c>
      <c r="S1086" s="126">
        <f t="shared" si="125"/>
        <v>0</v>
      </c>
    </row>
    <row r="1087" spans="1:19" ht="31.5">
      <c r="A1087" s="61"/>
      <c r="B1087" s="60"/>
      <c r="C1087" s="59"/>
      <c r="D1087" s="63"/>
      <c r="E1087" s="64"/>
      <c r="F1087" s="64"/>
      <c r="G1087" s="51"/>
      <c r="H1087" s="2" t="s">
        <v>902</v>
      </c>
      <c r="I1087" s="5">
        <v>674</v>
      </c>
      <c r="J1087" s="13">
        <v>8</v>
      </c>
      <c r="K1087" s="11">
        <v>1</v>
      </c>
      <c r="L1087" s="57" t="s">
        <v>494</v>
      </c>
      <c r="M1087" s="58" t="s">
        <v>220</v>
      </c>
      <c r="N1087" s="58" t="s">
        <v>232</v>
      </c>
      <c r="O1087" s="58" t="s">
        <v>261</v>
      </c>
      <c r="P1087" s="3"/>
      <c r="Q1087" s="126">
        <f t="shared" si="125"/>
        <v>289.9</v>
      </c>
      <c r="R1087" s="126">
        <f t="shared" si="125"/>
        <v>0</v>
      </c>
      <c r="S1087" s="126">
        <f t="shared" si="125"/>
        <v>0</v>
      </c>
    </row>
    <row r="1088" spans="1:19" ht="18.75">
      <c r="A1088" s="61"/>
      <c r="B1088" s="60"/>
      <c r="C1088" s="59"/>
      <c r="D1088" s="63"/>
      <c r="E1088" s="64"/>
      <c r="F1088" s="64"/>
      <c r="G1088" s="51"/>
      <c r="H1088" s="303" t="s">
        <v>462</v>
      </c>
      <c r="I1088" s="5">
        <v>674</v>
      </c>
      <c r="J1088" s="13">
        <v>8</v>
      </c>
      <c r="K1088" s="11">
        <v>1</v>
      </c>
      <c r="L1088" s="57" t="s">
        <v>494</v>
      </c>
      <c r="M1088" s="58" t="s">
        <v>220</v>
      </c>
      <c r="N1088" s="58" t="s">
        <v>232</v>
      </c>
      <c r="O1088" s="58" t="s">
        <v>316</v>
      </c>
      <c r="P1088" s="3"/>
      <c r="Q1088" s="126">
        <f t="shared" si="125"/>
        <v>289.9</v>
      </c>
      <c r="R1088" s="126">
        <f t="shared" si="125"/>
        <v>0</v>
      </c>
      <c r="S1088" s="126">
        <f t="shared" si="125"/>
        <v>0</v>
      </c>
    </row>
    <row r="1089" spans="1:19" ht="18.75">
      <c r="A1089" s="61"/>
      <c r="B1089" s="60"/>
      <c r="C1089" s="59"/>
      <c r="D1089" s="63"/>
      <c r="E1089" s="64"/>
      <c r="F1089" s="64"/>
      <c r="G1089" s="51"/>
      <c r="H1089" s="2" t="s">
        <v>299</v>
      </c>
      <c r="I1089" s="5">
        <v>674</v>
      </c>
      <c r="J1089" s="13">
        <v>8</v>
      </c>
      <c r="K1089" s="11">
        <v>1</v>
      </c>
      <c r="L1089" s="57" t="s">
        <v>494</v>
      </c>
      <c r="M1089" s="58" t="s">
        <v>220</v>
      </c>
      <c r="N1089" s="58" t="s">
        <v>232</v>
      </c>
      <c r="O1089" s="58" t="s">
        <v>316</v>
      </c>
      <c r="P1089" s="3">
        <v>240</v>
      </c>
      <c r="Q1089" s="126">
        <f>87+202.9</f>
        <v>289.9</v>
      </c>
      <c r="R1089" s="126">
        <v>0</v>
      </c>
      <c r="S1089" s="126">
        <v>0</v>
      </c>
    </row>
    <row r="1090" spans="1:19" s="113" customFormat="1" ht="19.5" hidden="1">
      <c r="A1090" s="89"/>
      <c r="B1090" s="90"/>
      <c r="C1090" s="89"/>
      <c r="D1090" s="97"/>
      <c r="E1090" s="196"/>
      <c r="F1090" s="196"/>
      <c r="G1090" s="84"/>
      <c r="H1090" s="227" t="s">
        <v>248</v>
      </c>
      <c r="I1090" s="99">
        <v>674</v>
      </c>
      <c r="J1090" s="94">
        <v>10</v>
      </c>
      <c r="K1090" s="86"/>
      <c r="L1090" s="87"/>
      <c r="M1090" s="88"/>
      <c r="N1090" s="88"/>
      <c r="O1090" s="88"/>
      <c r="P1090" s="93"/>
      <c r="Q1090" s="127">
        <v>0</v>
      </c>
      <c r="R1090" s="127">
        <f aca="true" t="shared" si="126" ref="R1090:S1093">R1091</f>
        <v>0</v>
      </c>
      <c r="S1090" s="127">
        <f t="shared" si="126"/>
        <v>0</v>
      </c>
    </row>
    <row r="1091" spans="1:19" s="113" customFormat="1" ht="19.5" hidden="1">
      <c r="A1091" s="89"/>
      <c r="B1091" s="90"/>
      <c r="C1091" s="89"/>
      <c r="D1091" s="97"/>
      <c r="E1091" s="196"/>
      <c r="F1091" s="196"/>
      <c r="G1091" s="84"/>
      <c r="H1091" s="225" t="s">
        <v>81</v>
      </c>
      <c r="I1091" s="99">
        <v>674</v>
      </c>
      <c r="J1091" s="94">
        <v>10</v>
      </c>
      <c r="K1091" s="86">
        <v>1</v>
      </c>
      <c r="L1091" s="87"/>
      <c r="M1091" s="88"/>
      <c r="N1091" s="88"/>
      <c r="O1091" s="88"/>
      <c r="P1091" s="93"/>
      <c r="Q1091" s="127">
        <v>0</v>
      </c>
      <c r="R1091" s="127">
        <f t="shared" si="126"/>
        <v>0</v>
      </c>
      <c r="S1091" s="127">
        <f t="shared" si="126"/>
        <v>0</v>
      </c>
    </row>
    <row r="1092" spans="1:19" ht="31.5" hidden="1">
      <c r="A1092" s="61"/>
      <c r="B1092" s="60"/>
      <c r="C1092" s="59"/>
      <c r="D1092" s="63"/>
      <c r="E1092" s="64"/>
      <c r="F1092" s="64"/>
      <c r="G1092" s="51"/>
      <c r="H1092" s="2" t="s">
        <v>522</v>
      </c>
      <c r="I1092" s="5">
        <v>674</v>
      </c>
      <c r="J1092" s="13">
        <v>10</v>
      </c>
      <c r="K1092" s="11">
        <v>1</v>
      </c>
      <c r="L1092" s="57" t="s">
        <v>494</v>
      </c>
      <c r="M1092" s="58" t="s">
        <v>220</v>
      </c>
      <c r="N1092" s="58" t="s">
        <v>229</v>
      </c>
      <c r="O1092" s="58" t="s">
        <v>261</v>
      </c>
      <c r="P1092" s="3"/>
      <c r="Q1092" s="126">
        <v>0</v>
      </c>
      <c r="R1092" s="126">
        <f t="shared" si="126"/>
        <v>0</v>
      </c>
      <c r="S1092" s="126">
        <f t="shared" si="126"/>
        <v>0</v>
      </c>
    </row>
    <row r="1093" spans="1:19" ht="31.5" hidden="1">
      <c r="A1093" s="61"/>
      <c r="B1093" s="60"/>
      <c r="C1093" s="59"/>
      <c r="D1093" s="63"/>
      <c r="E1093" s="64"/>
      <c r="F1093" s="64"/>
      <c r="G1093" s="51"/>
      <c r="H1093" s="2" t="s">
        <v>902</v>
      </c>
      <c r="I1093" s="5">
        <v>674</v>
      </c>
      <c r="J1093" s="13">
        <v>10</v>
      </c>
      <c r="K1093" s="11">
        <v>1</v>
      </c>
      <c r="L1093" s="57" t="s">
        <v>494</v>
      </c>
      <c r="M1093" s="58" t="s">
        <v>220</v>
      </c>
      <c r="N1093" s="58" t="s">
        <v>232</v>
      </c>
      <c r="O1093" s="58" t="s">
        <v>261</v>
      </c>
      <c r="P1093" s="3"/>
      <c r="Q1093" s="126">
        <v>0</v>
      </c>
      <c r="R1093" s="126">
        <f t="shared" si="126"/>
        <v>0</v>
      </c>
      <c r="S1093" s="126">
        <f t="shared" si="126"/>
        <v>0</v>
      </c>
    </row>
    <row r="1094" spans="1:19" ht="18.75" hidden="1">
      <c r="A1094" s="61"/>
      <c r="B1094" s="60"/>
      <c r="C1094" s="65"/>
      <c r="D1094" s="63"/>
      <c r="E1094" s="465">
        <v>4210200</v>
      </c>
      <c r="F1094" s="466"/>
      <c r="G1094" s="51">
        <v>521</v>
      </c>
      <c r="H1094" s="2" t="s">
        <v>556</v>
      </c>
      <c r="I1094" s="5">
        <v>674</v>
      </c>
      <c r="J1094" s="4">
        <v>10</v>
      </c>
      <c r="K1094" s="11">
        <v>1</v>
      </c>
      <c r="L1094" s="57" t="s">
        <v>494</v>
      </c>
      <c r="M1094" s="58" t="s">
        <v>220</v>
      </c>
      <c r="N1094" s="58" t="s">
        <v>232</v>
      </c>
      <c r="O1094" s="58" t="s">
        <v>37</v>
      </c>
      <c r="P1094" s="7"/>
      <c r="Q1094" s="124">
        <v>0</v>
      </c>
      <c r="R1094" s="124">
        <f>R1095</f>
        <v>0</v>
      </c>
      <c r="S1094" s="124">
        <f>S1095</f>
        <v>0</v>
      </c>
    </row>
    <row r="1095" spans="1:19" ht="18.75" hidden="1">
      <c r="A1095" s="61"/>
      <c r="B1095" s="60"/>
      <c r="C1095" s="65"/>
      <c r="D1095" s="71"/>
      <c r="E1095" s="66"/>
      <c r="F1095" s="66"/>
      <c r="G1095" s="67">
        <v>521</v>
      </c>
      <c r="H1095" s="26" t="s">
        <v>303</v>
      </c>
      <c r="I1095" s="5">
        <v>674</v>
      </c>
      <c r="J1095" s="4">
        <v>10</v>
      </c>
      <c r="K1095" s="11">
        <v>1</v>
      </c>
      <c r="L1095" s="57" t="s">
        <v>494</v>
      </c>
      <c r="M1095" s="58" t="s">
        <v>220</v>
      </c>
      <c r="N1095" s="58" t="s">
        <v>232</v>
      </c>
      <c r="O1095" s="58" t="s">
        <v>37</v>
      </c>
      <c r="P1095" s="3">
        <v>310</v>
      </c>
      <c r="Q1095" s="126"/>
      <c r="R1095" s="126"/>
      <c r="S1095" s="126"/>
    </row>
    <row r="1096" spans="1:19" ht="18.75">
      <c r="A1096" s="61"/>
      <c r="B1096" s="60"/>
      <c r="C1096" s="59"/>
      <c r="D1096" s="461">
        <v>20000</v>
      </c>
      <c r="E1096" s="462"/>
      <c r="F1096" s="462"/>
      <c r="G1096" s="51">
        <v>360</v>
      </c>
      <c r="H1096" s="80" t="s">
        <v>203</v>
      </c>
      <c r="I1096" s="356"/>
      <c r="J1096" s="53"/>
      <c r="K1096" s="53"/>
      <c r="L1096" s="54"/>
      <c r="M1096" s="55"/>
      <c r="N1096" s="55"/>
      <c r="O1096" s="55"/>
      <c r="P1096" s="6"/>
      <c r="Q1096" s="122">
        <f>Q15+Q24+Q34+Q495+Q655+Q689+Q726+Q907+Q1005</f>
        <v>1707440.4999999998</v>
      </c>
      <c r="R1096" s="122">
        <f>R15+R24+R34+R495+R655+R689+R726+R907+R1005</f>
        <v>690425.3</v>
      </c>
      <c r="S1096" s="122">
        <f>S15+S24+S34+S495+S655+S689+S726+S907+S1005</f>
        <v>723310.7</v>
      </c>
    </row>
    <row r="1097" spans="8:19" ht="18.75">
      <c r="H1097" s="185" t="s">
        <v>363</v>
      </c>
      <c r="I1097" s="359"/>
      <c r="J1097" s="186"/>
      <c r="K1097" s="186"/>
      <c r="L1097" s="187"/>
      <c r="M1097" s="188"/>
      <c r="N1097" s="188"/>
      <c r="O1097" s="189"/>
      <c r="P1097" s="186"/>
      <c r="Q1097" s="190" t="s">
        <v>262</v>
      </c>
      <c r="R1097" s="191">
        <v>9900</v>
      </c>
      <c r="S1097" s="191">
        <v>21000</v>
      </c>
    </row>
    <row r="1098" spans="8:19" ht="18.75">
      <c r="H1098" s="185" t="s">
        <v>334</v>
      </c>
      <c r="I1098" s="359"/>
      <c r="J1098" s="186"/>
      <c r="K1098" s="186"/>
      <c r="L1098" s="187"/>
      <c r="M1098" s="188"/>
      <c r="N1098" s="188"/>
      <c r="O1098" s="189"/>
      <c r="P1098" s="186"/>
      <c r="Q1098" s="191">
        <f>Q1096</f>
        <v>1707440.4999999998</v>
      </c>
      <c r="R1098" s="191">
        <f>R1096+R1097</f>
        <v>700325.3</v>
      </c>
      <c r="S1098" s="191">
        <f>S1096+S1097</f>
        <v>744310.7</v>
      </c>
    </row>
    <row r="1100" spans="17:19" ht="18.75">
      <c r="Q1100" s="429"/>
      <c r="S1100" s="397"/>
    </row>
    <row r="1101" spans="17:23" ht="15.75">
      <c r="Q1101" s="173"/>
      <c r="W1101" s="21" t="s">
        <v>1026</v>
      </c>
    </row>
    <row r="1102" spans="18:19" ht="15">
      <c r="R1102" s="30"/>
      <c r="S1102" s="30"/>
    </row>
    <row r="1103" spans="18:19" ht="15">
      <c r="R1103" s="30"/>
      <c r="S1103" s="30"/>
    </row>
    <row r="1104" spans="17:19" ht="15">
      <c r="Q1104" s="421"/>
      <c r="R1104" s="21"/>
      <c r="S1104" s="21"/>
    </row>
    <row r="1105" spans="17:19" ht="15">
      <c r="Q1105" s="21"/>
      <c r="R1105" s="21"/>
      <c r="S1105" s="21"/>
    </row>
  </sheetData>
  <sheetProtection/>
  <autoFilter ref="A1:S1098"/>
  <mergeCells count="48">
    <mergeCell ref="D471:F471"/>
    <mergeCell ref="D463:F463"/>
    <mergeCell ref="E48:F48"/>
    <mergeCell ref="D430:F430"/>
    <mergeCell ref="D440:F440"/>
    <mergeCell ref="D443:F443"/>
    <mergeCell ref="D414:F414"/>
    <mergeCell ref="D444:F444"/>
    <mergeCell ref="D376:F376"/>
    <mergeCell ref="D403:F403"/>
    <mergeCell ref="D389:F389"/>
    <mergeCell ref="D384:F384"/>
    <mergeCell ref="D1096:F1096"/>
    <mergeCell ref="D321:F321"/>
    <mergeCell ref="D226:F226"/>
    <mergeCell ref="D248:F248"/>
    <mergeCell ref="D380:F380"/>
    <mergeCell ref="D372:F372"/>
    <mergeCell ref="D408:F408"/>
    <mergeCell ref="D411:F411"/>
    <mergeCell ref="E1094:F1094"/>
    <mergeCell ref="D466:F466"/>
    <mergeCell ref="P12:P13"/>
    <mergeCell ref="D450:F450"/>
    <mergeCell ref="D453:F453"/>
    <mergeCell ref="D354:F354"/>
    <mergeCell ref="A15:F15"/>
    <mergeCell ref="D519:F519"/>
    <mergeCell ref="C18:F18"/>
    <mergeCell ref="D21:F21"/>
    <mergeCell ref="A17:F17"/>
    <mergeCell ref="L14:O14"/>
    <mergeCell ref="D364:F364"/>
    <mergeCell ref="D350:F350"/>
    <mergeCell ref="Q12:S12"/>
    <mergeCell ref="R11:S11"/>
    <mergeCell ref="H12:H13"/>
    <mergeCell ref="J12:J13"/>
    <mergeCell ref="I12:I13"/>
    <mergeCell ref="K12:K13"/>
    <mergeCell ref="L12:O13"/>
    <mergeCell ref="I4:S4"/>
    <mergeCell ref="I5:S5"/>
    <mergeCell ref="I6:S6"/>
    <mergeCell ref="I7:S7"/>
    <mergeCell ref="I8:S8"/>
    <mergeCell ref="H10:S10"/>
  </mergeCells>
  <printOptions/>
  <pageMargins left="0.5511811023622047" right="0.2755905511811024" top="0.31496062992125984" bottom="0.5118110236220472" header="0.5118110236220472" footer="0.5118110236220472"/>
  <pageSetup fitToHeight="0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7"/>
  <sheetViews>
    <sheetView tabSelected="1" zoomScale="90" zoomScaleNormal="90" zoomScalePageLayoutView="0" workbookViewId="0" topLeftCell="A1">
      <selection activeCell="M3" sqref="M3:M5"/>
    </sheetView>
  </sheetViews>
  <sheetFormatPr defaultColWidth="9.140625" defaultRowHeight="15"/>
  <cols>
    <col min="1" max="1" width="53.57421875" style="363" customWidth="1"/>
    <col min="2" max="2" width="15.00390625" style="183" customWidth="1"/>
    <col min="3" max="3" width="6.28125" style="210" customWidth="1"/>
    <col min="4" max="4" width="6.140625" style="210" customWidth="1"/>
    <col min="5" max="5" width="5.00390625" style="183" customWidth="1"/>
    <col min="6" max="6" width="13.28125" style="289" customWidth="1"/>
    <col min="7" max="7" width="13.57421875" style="282" customWidth="1"/>
    <col min="8" max="8" width="11.140625" style="282" customWidth="1"/>
    <col min="9" max="16384" width="9.140625" style="183" customWidth="1"/>
  </cols>
  <sheetData>
    <row r="1" spans="2:6" ht="18.75">
      <c r="B1" s="482" t="s">
        <v>480</v>
      </c>
      <c r="C1" s="482"/>
      <c r="D1" s="482"/>
      <c r="E1" s="482"/>
      <c r="F1" s="482"/>
    </row>
    <row r="2" spans="2:7" ht="18.75">
      <c r="B2" s="482" t="s">
        <v>474</v>
      </c>
      <c r="C2" s="482"/>
      <c r="D2" s="482"/>
      <c r="E2" s="482"/>
      <c r="F2" s="482"/>
      <c r="G2" s="482"/>
    </row>
    <row r="3" spans="2:6" ht="18.75">
      <c r="B3" s="482" t="s">
        <v>1118</v>
      </c>
      <c r="C3" s="482"/>
      <c r="D3" s="482"/>
      <c r="E3" s="482"/>
      <c r="F3" s="482"/>
    </row>
    <row r="4" spans="1:8" ht="15.75">
      <c r="A4" s="198"/>
      <c r="B4" s="483" t="s">
        <v>1089</v>
      </c>
      <c r="C4" s="483"/>
      <c r="D4" s="483"/>
      <c r="E4" s="483"/>
      <c r="F4" s="483"/>
      <c r="G4" s="269"/>
      <c r="H4" s="24"/>
    </row>
    <row r="5" spans="1:8" ht="15.75">
      <c r="A5" s="198"/>
      <c r="B5" s="484" t="s">
        <v>474</v>
      </c>
      <c r="C5" s="484"/>
      <c r="D5" s="484"/>
      <c r="E5" s="484"/>
      <c r="F5" s="484"/>
      <c r="G5" s="484"/>
      <c r="H5" s="484"/>
    </row>
    <row r="6" spans="1:8" ht="15.75">
      <c r="A6" s="198"/>
      <c r="B6" s="483" t="s">
        <v>1000</v>
      </c>
      <c r="C6" s="483"/>
      <c r="D6" s="483"/>
      <c r="E6" s="483"/>
      <c r="F6" s="483"/>
      <c r="G6" s="483"/>
      <c r="H6" s="24"/>
    </row>
    <row r="7" spans="1:8" ht="15.75">
      <c r="A7" s="198"/>
      <c r="B7" s="483" t="s">
        <v>992</v>
      </c>
      <c r="C7" s="483"/>
      <c r="D7" s="483"/>
      <c r="E7" s="483"/>
      <c r="F7" s="483"/>
      <c r="G7" s="269"/>
      <c r="H7" s="24"/>
    </row>
    <row r="8" spans="1:8" ht="15.75">
      <c r="A8" s="198"/>
      <c r="B8" s="270" t="s">
        <v>1031</v>
      </c>
      <c r="C8" s="270"/>
      <c r="D8" s="270"/>
      <c r="E8" s="270"/>
      <c r="F8" s="283"/>
      <c r="G8" s="284"/>
      <c r="H8" s="24"/>
    </row>
    <row r="9" spans="1:7" ht="18.75">
      <c r="A9" s="198"/>
      <c r="B9" s="199"/>
      <c r="C9" s="199"/>
      <c r="D9" s="199"/>
      <c r="E9" s="199"/>
      <c r="F9" s="285"/>
      <c r="G9" s="284"/>
    </row>
    <row r="10" spans="1:7" ht="18.75">
      <c r="A10" s="481" t="s">
        <v>88</v>
      </c>
      <c r="B10" s="481"/>
      <c r="C10" s="481"/>
      <c r="D10" s="481"/>
      <c r="E10" s="481"/>
      <c r="F10" s="481"/>
      <c r="G10" s="286"/>
    </row>
    <row r="11" spans="1:7" ht="18.75">
      <c r="A11" s="481" t="s">
        <v>326</v>
      </c>
      <c r="B11" s="481"/>
      <c r="C11" s="481"/>
      <c r="D11" s="481"/>
      <c r="E11" s="481"/>
      <c r="F11" s="481"/>
      <c r="G11" s="287"/>
    </row>
    <row r="12" spans="1:7" ht="18.75">
      <c r="A12" s="473" t="s">
        <v>1001</v>
      </c>
      <c r="B12" s="473"/>
      <c r="C12" s="473"/>
      <c r="D12" s="473"/>
      <c r="E12" s="473"/>
      <c r="F12" s="473"/>
      <c r="G12" s="288"/>
    </row>
    <row r="13" spans="1:8" ht="15.75">
      <c r="A13" s="364"/>
      <c r="B13" s="200"/>
      <c r="C13" s="201"/>
      <c r="D13" s="201"/>
      <c r="E13" s="200"/>
      <c r="H13" s="289" t="s">
        <v>361</v>
      </c>
    </row>
    <row r="14" spans="1:8" ht="15.75">
      <c r="A14" s="477" t="s">
        <v>194</v>
      </c>
      <c r="B14" s="478" t="s">
        <v>190</v>
      </c>
      <c r="C14" s="479" t="s">
        <v>193</v>
      </c>
      <c r="D14" s="479" t="s">
        <v>86</v>
      </c>
      <c r="E14" s="478" t="s">
        <v>189</v>
      </c>
      <c r="F14" s="480" t="s">
        <v>188</v>
      </c>
      <c r="G14" s="480"/>
      <c r="H14" s="480"/>
    </row>
    <row r="15" spans="1:8" ht="15">
      <c r="A15" s="477"/>
      <c r="B15" s="478"/>
      <c r="C15" s="479"/>
      <c r="D15" s="479"/>
      <c r="E15" s="478"/>
      <c r="F15" s="290" t="s">
        <v>463</v>
      </c>
      <c r="G15" s="290" t="s">
        <v>481</v>
      </c>
      <c r="H15" s="290" t="s">
        <v>993</v>
      </c>
    </row>
    <row r="16" spans="1:8" ht="15.75">
      <c r="A16" s="365">
        <v>1</v>
      </c>
      <c r="B16" s="202">
        <v>2</v>
      </c>
      <c r="C16" s="203">
        <v>3</v>
      </c>
      <c r="D16" s="203">
        <v>4</v>
      </c>
      <c r="E16" s="202">
        <v>5</v>
      </c>
      <c r="F16" s="277">
        <v>6</v>
      </c>
      <c r="G16" s="290">
        <v>7</v>
      </c>
      <c r="H16" s="290">
        <v>8</v>
      </c>
    </row>
    <row r="17" spans="1:8" s="205" customFormat="1" ht="63">
      <c r="A17" s="424" t="s">
        <v>583</v>
      </c>
      <c r="B17" s="197" t="s">
        <v>593</v>
      </c>
      <c r="C17" s="204"/>
      <c r="D17" s="204"/>
      <c r="E17" s="197"/>
      <c r="F17" s="291">
        <f>F18+F21+F26+F31+F42</f>
        <v>790.7</v>
      </c>
      <c r="G17" s="291">
        <f>G18+G21+G26+G31+G42</f>
        <v>790.6</v>
      </c>
      <c r="H17" s="291">
        <f>H18+H21+H26+H31+H42</f>
        <v>779.6</v>
      </c>
    </row>
    <row r="18" spans="1:8" ht="47.25">
      <c r="A18" s="366" t="s">
        <v>168</v>
      </c>
      <c r="B18" s="178" t="s">
        <v>594</v>
      </c>
      <c r="C18" s="182"/>
      <c r="D18" s="182"/>
      <c r="E18" s="155"/>
      <c r="F18" s="279">
        <f aca="true" t="shared" si="0" ref="F18:H19">F19</f>
        <v>15</v>
      </c>
      <c r="G18" s="279">
        <f t="shared" si="0"/>
        <v>15</v>
      </c>
      <c r="H18" s="279">
        <f t="shared" si="0"/>
        <v>15</v>
      </c>
    </row>
    <row r="19" spans="1:8" ht="31.5">
      <c r="A19" s="135" t="s">
        <v>60</v>
      </c>
      <c r="B19" s="178" t="s">
        <v>595</v>
      </c>
      <c r="C19" s="182"/>
      <c r="D19" s="182"/>
      <c r="E19" s="155"/>
      <c r="F19" s="279">
        <f t="shared" si="0"/>
        <v>15</v>
      </c>
      <c r="G19" s="279">
        <f t="shared" si="0"/>
        <v>15</v>
      </c>
      <c r="H19" s="279">
        <f t="shared" si="0"/>
        <v>15</v>
      </c>
    </row>
    <row r="20" spans="1:8" ht="47.25">
      <c r="A20" s="135" t="s">
        <v>299</v>
      </c>
      <c r="B20" s="178" t="s">
        <v>595</v>
      </c>
      <c r="C20" s="179" t="s">
        <v>596</v>
      </c>
      <c r="D20" s="182" t="s">
        <v>93</v>
      </c>
      <c r="E20" s="155">
        <v>240</v>
      </c>
      <c r="F20" s="279">
        <f>'приложение 5'!Q831</f>
        <v>15</v>
      </c>
      <c r="G20" s="279">
        <f>'приложение 5'!R831</f>
        <v>15</v>
      </c>
      <c r="H20" s="279">
        <f>'приложение 5'!S831</f>
        <v>15</v>
      </c>
    </row>
    <row r="21" spans="1:8" ht="47.25">
      <c r="A21" s="366" t="s">
        <v>50</v>
      </c>
      <c r="B21" s="178" t="s">
        <v>597</v>
      </c>
      <c r="C21" s="182"/>
      <c r="D21" s="182"/>
      <c r="E21" s="155"/>
      <c r="F21" s="279">
        <f>F22+F24</f>
        <v>133</v>
      </c>
      <c r="G21" s="279">
        <f>G22+G24</f>
        <v>133</v>
      </c>
      <c r="H21" s="279">
        <f>H22+H24</f>
        <v>133</v>
      </c>
    </row>
    <row r="22" spans="1:8" ht="31.5">
      <c r="A22" s="135" t="s">
        <v>60</v>
      </c>
      <c r="B22" s="178" t="s">
        <v>598</v>
      </c>
      <c r="C22" s="182"/>
      <c r="D22" s="182"/>
      <c r="E22" s="155"/>
      <c r="F22" s="279">
        <f>F23</f>
        <v>7.900000000000006</v>
      </c>
      <c r="G22" s="279">
        <f>G23</f>
        <v>133</v>
      </c>
      <c r="H22" s="279">
        <f>H23</f>
        <v>133</v>
      </c>
    </row>
    <row r="23" spans="1:8" ht="47.25">
      <c r="A23" s="135" t="s">
        <v>299</v>
      </c>
      <c r="B23" s="178" t="s">
        <v>598</v>
      </c>
      <c r="C23" s="179" t="s">
        <v>596</v>
      </c>
      <c r="D23" s="179" t="s">
        <v>93</v>
      </c>
      <c r="E23" s="155">
        <v>240</v>
      </c>
      <c r="F23" s="279">
        <f>'приложение 5'!Q834</f>
        <v>7.900000000000006</v>
      </c>
      <c r="G23" s="279">
        <f>'приложение 5'!R834</f>
        <v>133</v>
      </c>
      <c r="H23" s="279">
        <f>'приложение 5'!S834</f>
        <v>133</v>
      </c>
    </row>
    <row r="24" spans="1:8" ht="15.75">
      <c r="A24" s="415" t="s">
        <v>53</v>
      </c>
      <c r="B24" s="178" t="s">
        <v>939</v>
      </c>
      <c r="C24" s="179"/>
      <c r="D24" s="179"/>
      <c r="E24" s="155"/>
      <c r="F24" s="279">
        <f>F25</f>
        <v>125.1</v>
      </c>
      <c r="G24" s="279">
        <f>G25</f>
        <v>0</v>
      </c>
      <c r="H24" s="279">
        <f>H25</f>
        <v>0</v>
      </c>
    </row>
    <row r="25" spans="1:8" ht="15.75">
      <c r="A25" s="415" t="s">
        <v>301</v>
      </c>
      <c r="B25" s="178" t="s">
        <v>939</v>
      </c>
      <c r="C25" s="179" t="s">
        <v>596</v>
      </c>
      <c r="D25" s="179" t="s">
        <v>92</v>
      </c>
      <c r="E25" s="155">
        <v>610</v>
      </c>
      <c r="F25" s="279">
        <f>'приложение 5'!Q732</f>
        <v>125.1</v>
      </c>
      <c r="G25" s="279">
        <f>'приложение 5'!R732</f>
        <v>0</v>
      </c>
      <c r="H25" s="279">
        <f>'приложение 5'!S732</f>
        <v>0</v>
      </c>
    </row>
    <row r="26" spans="1:8" ht="47.25">
      <c r="A26" s="366" t="s">
        <v>47</v>
      </c>
      <c r="B26" s="178" t="s">
        <v>599</v>
      </c>
      <c r="C26" s="182"/>
      <c r="D26" s="182"/>
      <c r="E26" s="155"/>
      <c r="F26" s="279">
        <f>F27+F29</f>
        <v>8</v>
      </c>
      <c r="G26" s="279">
        <f>G27+G29</f>
        <v>8</v>
      </c>
      <c r="H26" s="279">
        <f>H27+H29</f>
        <v>8</v>
      </c>
    </row>
    <row r="27" spans="1:8" ht="31.5">
      <c r="A27" s="135" t="s">
        <v>60</v>
      </c>
      <c r="B27" s="178" t="s">
        <v>600</v>
      </c>
      <c r="C27" s="182"/>
      <c r="D27" s="182"/>
      <c r="E27" s="155"/>
      <c r="F27" s="279">
        <f>F28</f>
        <v>5</v>
      </c>
      <c r="G27" s="279">
        <f>G28</f>
        <v>8</v>
      </c>
      <c r="H27" s="279">
        <f>H28</f>
        <v>8</v>
      </c>
    </row>
    <row r="28" spans="1:8" ht="47.25">
      <c r="A28" s="135" t="s">
        <v>299</v>
      </c>
      <c r="B28" s="178" t="s">
        <v>600</v>
      </c>
      <c r="C28" s="179" t="s">
        <v>596</v>
      </c>
      <c r="D28" s="179" t="s">
        <v>93</v>
      </c>
      <c r="E28" s="155">
        <v>240</v>
      </c>
      <c r="F28" s="279">
        <f>'приложение 5'!Q837</f>
        <v>5</v>
      </c>
      <c r="G28" s="279">
        <f>'приложение 5'!R837</f>
        <v>8</v>
      </c>
      <c r="H28" s="279">
        <f>'приложение 5'!S837</f>
        <v>8</v>
      </c>
    </row>
    <row r="29" spans="1:8" ht="31.5">
      <c r="A29" s="367" t="s">
        <v>56</v>
      </c>
      <c r="B29" s="178" t="s">
        <v>941</v>
      </c>
      <c r="C29" s="179"/>
      <c r="D29" s="179"/>
      <c r="E29" s="155"/>
      <c r="F29" s="279">
        <f>F30</f>
        <v>3</v>
      </c>
      <c r="G29" s="279">
        <f>G30</f>
        <v>0</v>
      </c>
      <c r="H29" s="279">
        <f>H30</f>
        <v>0</v>
      </c>
    </row>
    <row r="30" spans="1:8" ht="15.75">
      <c r="A30" s="25" t="s">
        <v>301</v>
      </c>
      <c r="B30" s="178" t="s">
        <v>941</v>
      </c>
      <c r="C30" s="179" t="s">
        <v>596</v>
      </c>
      <c r="D30" s="179" t="s">
        <v>95</v>
      </c>
      <c r="E30" s="155">
        <v>610</v>
      </c>
      <c r="F30" s="279">
        <f>'приложение 5'!Q764</f>
        <v>3</v>
      </c>
      <c r="G30" s="279">
        <f>'приложение 5'!R764</f>
        <v>0</v>
      </c>
      <c r="H30" s="279">
        <f>'приложение 5'!S764</f>
        <v>0</v>
      </c>
    </row>
    <row r="31" spans="1:8" ht="63">
      <c r="A31" s="366" t="s">
        <v>289</v>
      </c>
      <c r="B31" s="178" t="s">
        <v>601</v>
      </c>
      <c r="C31" s="182"/>
      <c r="D31" s="182"/>
      <c r="E31" s="155"/>
      <c r="F31" s="279">
        <f>F32+F38+F40+F34+F36</f>
        <v>234.7</v>
      </c>
      <c r="G31" s="279">
        <f>G32+G38+G40+G34+G36</f>
        <v>234.6</v>
      </c>
      <c r="H31" s="279">
        <f>H32+H38+H40+H34+H36</f>
        <v>223.6</v>
      </c>
    </row>
    <row r="32" spans="1:8" ht="31.5">
      <c r="A32" s="135" t="s">
        <v>60</v>
      </c>
      <c r="B32" s="178" t="s">
        <v>602</v>
      </c>
      <c r="C32" s="182"/>
      <c r="D32" s="182"/>
      <c r="E32" s="155"/>
      <c r="F32" s="279">
        <f>F33</f>
        <v>168.3</v>
      </c>
      <c r="G32" s="279">
        <f>G33</f>
        <v>138.79999999999998</v>
      </c>
      <c r="H32" s="279">
        <f>H33</f>
        <v>127.8</v>
      </c>
    </row>
    <row r="33" spans="1:8" ht="47.25">
      <c r="A33" s="135" t="s">
        <v>299</v>
      </c>
      <c r="B33" s="178" t="s">
        <v>602</v>
      </c>
      <c r="C33" s="179" t="s">
        <v>596</v>
      </c>
      <c r="D33" s="182" t="s">
        <v>93</v>
      </c>
      <c r="E33" s="155">
        <v>240</v>
      </c>
      <c r="F33" s="279">
        <f>'приложение 5'!Q840</f>
        <v>168.3</v>
      </c>
      <c r="G33" s="279">
        <f>'приложение 5'!R840</f>
        <v>138.79999999999998</v>
      </c>
      <c r="H33" s="279">
        <f>'приложение 5'!S840</f>
        <v>127.8</v>
      </c>
    </row>
    <row r="34" spans="1:8" ht="15.75">
      <c r="A34" s="368" t="s">
        <v>53</v>
      </c>
      <c r="B34" s="178" t="s">
        <v>940</v>
      </c>
      <c r="C34" s="179"/>
      <c r="D34" s="182"/>
      <c r="E34" s="155"/>
      <c r="F34" s="279">
        <f>F35</f>
        <v>2.3</v>
      </c>
      <c r="G34" s="279">
        <f>G35</f>
        <v>0</v>
      </c>
      <c r="H34" s="279">
        <f>H35</f>
        <v>0</v>
      </c>
    </row>
    <row r="35" spans="1:8" ht="15.75">
      <c r="A35" s="25" t="s">
        <v>301</v>
      </c>
      <c r="B35" s="178" t="s">
        <v>940</v>
      </c>
      <c r="C35" s="179" t="s">
        <v>596</v>
      </c>
      <c r="D35" s="179" t="s">
        <v>92</v>
      </c>
      <c r="E35" s="155">
        <v>610</v>
      </c>
      <c r="F35" s="279">
        <f>'приложение 5'!Q735</f>
        <v>2.3</v>
      </c>
      <c r="G35" s="279">
        <f>'приложение 5'!R735</f>
        <v>0</v>
      </c>
      <c r="H35" s="279">
        <f>'приложение 5'!S735</f>
        <v>0</v>
      </c>
    </row>
    <row r="36" spans="1:8" ht="31.5">
      <c r="A36" s="367" t="s">
        <v>56</v>
      </c>
      <c r="B36" s="178" t="s">
        <v>942</v>
      </c>
      <c r="C36" s="179"/>
      <c r="D36" s="179"/>
      <c r="E36" s="155"/>
      <c r="F36" s="279">
        <f>F37</f>
        <v>41.7</v>
      </c>
      <c r="G36" s="279">
        <f>G37</f>
        <v>0</v>
      </c>
      <c r="H36" s="279">
        <f>H37</f>
        <v>0</v>
      </c>
    </row>
    <row r="37" spans="1:8" ht="15.75">
      <c r="A37" s="25" t="s">
        <v>301</v>
      </c>
      <c r="B37" s="178" t="s">
        <v>942</v>
      </c>
      <c r="C37" s="179" t="s">
        <v>596</v>
      </c>
      <c r="D37" s="179" t="s">
        <v>95</v>
      </c>
      <c r="E37" s="155">
        <v>610</v>
      </c>
      <c r="F37" s="279">
        <f>'приложение 5'!Q767</f>
        <v>41.7</v>
      </c>
      <c r="G37" s="279">
        <f>'приложение 5'!R767</f>
        <v>0</v>
      </c>
      <c r="H37" s="279">
        <f>'приложение 5'!S767</f>
        <v>0</v>
      </c>
    </row>
    <row r="38" spans="1:8" ht="15.75">
      <c r="A38" s="368" t="s">
        <v>57</v>
      </c>
      <c r="B38" s="178" t="s">
        <v>937</v>
      </c>
      <c r="C38" s="179"/>
      <c r="D38" s="182"/>
      <c r="E38" s="155"/>
      <c r="F38" s="279">
        <f>F39</f>
        <v>7.7</v>
      </c>
      <c r="G38" s="279">
        <f>G39</f>
        <v>5.8</v>
      </c>
      <c r="H38" s="279">
        <f>H39</f>
        <v>5.8</v>
      </c>
    </row>
    <row r="39" spans="1:8" ht="15.75">
      <c r="A39" s="246" t="s">
        <v>301</v>
      </c>
      <c r="B39" s="178" t="s">
        <v>937</v>
      </c>
      <c r="C39" s="179" t="s">
        <v>616</v>
      </c>
      <c r="D39" s="179" t="s">
        <v>96</v>
      </c>
      <c r="E39" s="155">
        <v>610</v>
      </c>
      <c r="F39" s="279">
        <f>'приложение 5'!Q347</f>
        <v>7.7</v>
      </c>
      <c r="G39" s="279">
        <f>'приложение 5'!R347</f>
        <v>5.8</v>
      </c>
      <c r="H39" s="279">
        <f>'приложение 5'!S347</f>
        <v>5.8</v>
      </c>
    </row>
    <row r="40" spans="1:8" ht="15.75">
      <c r="A40" s="368" t="s">
        <v>43</v>
      </c>
      <c r="B40" s="178" t="s">
        <v>938</v>
      </c>
      <c r="C40" s="179"/>
      <c r="D40" s="182"/>
      <c r="E40" s="155"/>
      <c r="F40" s="279">
        <f>F41</f>
        <v>14.7</v>
      </c>
      <c r="G40" s="279">
        <f>G41</f>
        <v>90</v>
      </c>
      <c r="H40" s="279">
        <f>H41</f>
        <v>90</v>
      </c>
    </row>
    <row r="41" spans="1:8" ht="15.75">
      <c r="A41" s="25" t="s">
        <v>301</v>
      </c>
      <c r="B41" s="178" t="s">
        <v>938</v>
      </c>
      <c r="C41" s="179" t="s">
        <v>616</v>
      </c>
      <c r="D41" s="179" t="s">
        <v>125</v>
      </c>
      <c r="E41" s="155">
        <v>610</v>
      </c>
      <c r="F41" s="279">
        <f>'приложение 5'!Q458</f>
        <v>14.7</v>
      </c>
      <c r="G41" s="279">
        <f>'приложение 5'!R458</f>
        <v>90</v>
      </c>
      <c r="H41" s="279">
        <f>'приложение 5'!S458</f>
        <v>90</v>
      </c>
    </row>
    <row r="42" spans="1:8" ht="63">
      <c r="A42" s="366" t="s">
        <v>2</v>
      </c>
      <c r="B42" s="178" t="s">
        <v>603</v>
      </c>
      <c r="C42" s="182"/>
      <c r="D42" s="182"/>
      <c r="E42" s="155"/>
      <c r="F42" s="279">
        <f>F43+F46</f>
        <v>400</v>
      </c>
      <c r="G42" s="279">
        <f>G43+G46</f>
        <v>400</v>
      </c>
      <c r="H42" s="279">
        <f>H43+H46</f>
        <v>400</v>
      </c>
    </row>
    <row r="43" spans="1:8" ht="31.5">
      <c r="A43" s="135" t="s">
        <v>60</v>
      </c>
      <c r="B43" s="178" t="s">
        <v>604</v>
      </c>
      <c r="C43" s="182"/>
      <c r="D43" s="182"/>
      <c r="E43" s="155"/>
      <c r="F43" s="279">
        <f>F44+F45</f>
        <v>310.4</v>
      </c>
      <c r="G43" s="279">
        <f>G44+G45</f>
        <v>400</v>
      </c>
      <c r="H43" s="279">
        <f>H44+H45</f>
        <v>400</v>
      </c>
    </row>
    <row r="44" spans="1:8" ht="47.25">
      <c r="A44" s="135" t="s">
        <v>299</v>
      </c>
      <c r="B44" s="178" t="s">
        <v>604</v>
      </c>
      <c r="C44" s="179" t="s">
        <v>596</v>
      </c>
      <c r="D44" s="182" t="s">
        <v>93</v>
      </c>
      <c r="E44" s="155">
        <v>240</v>
      </c>
      <c r="F44" s="279">
        <f>'приложение 5'!Q843</f>
        <v>310.4</v>
      </c>
      <c r="G44" s="279">
        <f>'приложение 5'!R843</f>
        <v>400</v>
      </c>
      <c r="H44" s="279">
        <f>'приложение 5'!S843</f>
        <v>400</v>
      </c>
    </row>
    <row r="45" spans="1:8" ht="31.5" hidden="1">
      <c r="A45" s="2" t="s">
        <v>304</v>
      </c>
      <c r="B45" s="178" t="s">
        <v>604</v>
      </c>
      <c r="C45" s="179" t="s">
        <v>596</v>
      </c>
      <c r="D45" s="182" t="s">
        <v>93</v>
      </c>
      <c r="E45" s="155">
        <v>320</v>
      </c>
      <c r="F45" s="279">
        <f>'приложение 5'!Q844</f>
        <v>0</v>
      </c>
      <c r="G45" s="279">
        <f>'приложение 5'!R844</f>
        <v>0</v>
      </c>
      <c r="H45" s="279">
        <f>'приложение 5'!S844</f>
        <v>0</v>
      </c>
    </row>
    <row r="46" spans="1:8" ht="31.5">
      <c r="A46" s="367" t="s">
        <v>56</v>
      </c>
      <c r="B46" s="178" t="s">
        <v>943</v>
      </c>
      <c r="C46" s="179"/>
      <c r="D46" s="182"/>
      <c r="E46" s="155"/>
      <c r="F46" s="279">
        <f>F47</f>
        <v>89.6</v>
      </c>
      <c r="G46" s="279">
        <f>G47</f>
        <v>0</v>
      </c>
      <c r="H46" s="279">
        <f>H47</f>
        <v>0</v>
      </c>
    </row>
    <row r="47" spans="1:8" ht="15.75">
      <c r="A47" s="25" t="s">
        <v>301</v>
      </c>
      <c r="B47" s="178" t="s">
        <v>943</v>
      </c>
      <c r="C47" s="179" t="s">
        <v>596</v>
      </c>
      <c r="D47" s="179" t="s">
        <v>95</v>
      </c>
      <c r="E47" s="155">
        <v>610</v>
      </c>
      <c r="F47" s="279">
        <f>'приложение 5'!Q770</f>
        <v>89.6</v>
      </c>
      <c r="G47" s="279">
        <f>'приложение 5'!R770</f>
        <v>0</v>
      </c>
      <c r="H47" s="279">
        <f>'приложение 5'!S770</f>
        <v>0</v>
      </c>
    </row>
    <row r="48" spans="1:8" s="205" customFormat="1" ht="47.25">
      <c r="A48" s="29" t="s">
        <v>520</v>
      </c>
      <c r="B48" s="197" t="s">
        <v>605</v>
      </c>
      <c r="C48" s="204"/>
      <c r="D48" s="204"/>
      <c r="E48" s="197"/>
      <c r="F48" s="291">
        <f>F49+F53+F57</f>
        <v>929</v>
      </c>
      <c r="G48" s="291">
        <f>G49+G53+G57</f>
        <v>799</v>
      </c>
      <c r="H48" s="291">
        <f>H49+H53+H57</f>
        <v>835</v>
      </c>
    </row>
    <row r="49" spans="1:8" ht="31.5">
      <c r="A49" s="1" t="s">
        <v>365</v>
      </c>
      <c r="B49" s="178" t="s">
        <v>606</v>
      </c>
      <c r="C49" s="182"/>
      <c r="D49" s="182"/>
      <c r="E49" s="155"/>
      <c r="F49" s="279">
        <f>F50</f>
        <v>252.9</v>
      </c>
      <c r="G49" s="279">
        <f>G50</f>
        <v>200</v>
      </c>
      <c r="H49" s="279">
        <f>H50</f>
        <v>250</v>
      </c>
    </row>
    <row r="50" spans="1:8" ht="63">
      <c r="A50" s="12" t="s">
        <v>0</v>
      </c>
      <c r="B50" s="178" t="s">
        <v>607</v>
      </c>
      <c r="C50" s="182"/>
      <c r="D50" s="182"/>
      <c r="E50" s="155"/>
      <c r="F50" s="279">
        <f>F51+F52</f>
        <v>252.9</v>
      </c>
      <c r="G50" s="279">
        <f>G51+G52</f>
        <v>200</v>
      </c>
      <c r="H50" s="279">
        <f>H51+H52</f>
        <v>250</v>
      </c>
    </row>
    <row r="51" spans="1:8" ht="15.75">
      <c r="A51" s="2" t="s">
        <v>257</v>
      </c>
      <c r="B51" s="178" t="s">
        <v>607</v>
      </c>
      <c r="C51" s="179" t="s">
        <v>616</v>
      </c>
      <c r="D51" s="182" t="s">
        <v>87</v>
      </c>
      <c r="E51" s="155">
        <v>340</v>
      </c>
      <c r="F51" s="279">
        <f>'приложение 5'!Q65</f>
        <v>250</v>
      </c>
      <c r="G51" s="279">
        <f>'приложение 5'!R65</f>
        <v>200</v>
      </c>
      <c r="H51" s="279">
        <f>'приложение 5'!S65</f>
        <v>250</v>
      </c>
    </row>
    <row r="52" spans="1:8" ht="47.25">
      <c r="A52" s="2" t="s">
        <v>299</v>
      </c>
      <c r="B52" s="178" t="s">
        <v>607</v>
      </c>
      <c r="C52" s="179" t="s">
        <v>616</v>
      </c>
      <c r="D52" s="182" t="s">
        <v>87</v>
      </c>
      <c r="E52" s="155">
        <v>240</v>
      </c>
      <c r="F52" s="279">
        <f>'приложение 5'!Q66</f>
        <v>2.9</v>
      </c>
      <c r="G52" s="279">
        <f>'приложение 5'!R66</f>
        <v>0</v>
      </c>
      <c r="H52" s="279">
        <f>'приложение 5'!S66</f>
        <v>0</v>
      </c>
    </row>
    <row r="53" spans="1:8" ht="31.5">
      <c r="A53" s="2" t="s">
        <v>366</v>
      </c>
      <c r="B53" s="178" t="s">
        <v>608</v>
      </c>
      <c r="C53" s="182"/>
      <c r="D53" s="182"/>
      <c r="E53" s="155"/>
      <c r="F53" s="279">
        <f>F54</f>
        <v>165.1</v>
      </c>
      <c r="G53" s="279">
        <f>G54</f>
        <v>119</v>
      </c>
      <c r="H53" s="279">
        <f>H54</f>
        <v>134</v>
      </c>
    </row>
    <row r="54" spans="1:8" ht="63">
      <c r="A54" s="2" t="s">
        <v>0</v>
      </c>
      <c r="B54" s="178" t="s">
        <v>609</v>
      </c>
      <c r="C54" s="182"/>
      <c r="D54" s="182"/>
      <c r="E54" s="155"/>
      <c r="F54" s="279">
        <f>F55+F56</f>
        <v>165.1</v>
      </c>
      <c r="G54" s="279">
        <f>G55+G56</f>
        <v>119</v>
      </c>
      <c r="H54" s="279">
        <f>H55+H56</f>
        <v>134</v>
      </c>
    </row>
    <row r="55" spans="1:8" ht="31.5">
      <c r="A55" s="8" t="s">
        <v>204</v>
      </c>
      <c r="B55" s="178" t="s">
        <v>609</v>
      </c>
      <c r="C55" s="179" t="s">
        <v>616</v>
      </c>
      <c r="D55" s="182" t="s">
        <v>87</v>
      </c>
      <c r="E55" s="155">
        <v>120</v>
      </c>
      <c r="F55" s="279">
        <f>'приложение 5'!Q69</f>
        <v>62.1</v>
      </c>
      <c r="G55" s="279">
        <f>'приложение 5'!R69</f>
        <v>23</v>
      </c>
      <c r="H55" s="279">
        <f>'приложение 5'!S69</f>
        <v>38</v>
      </c>
    </row>
    <row r="56" spans="1:8" ht="47.25">
      <c r="A56" s="2" t="s">
        <v>299</v>
      </c>
      <c r="B56" s="178" t="s">
        <v>609</v>
      </c>
      <c r="C56" s="179" t="s">
        <v>616</v>
      </c>
      <c r="D56" s="182" t="s">
        <v>87</v>
      </c>
      <c r="E56" s="155">
        <v>240</v>
      </c>
      <c r="F56" s="279">
        <f>'приложение 5'!Q70</f>
        <v>103</v>
      </c>
      <c r="G56" s="279">
        <f>'приложение 5'!R70</f>
        <v>96</v>
      </c>
      <c r="H56" s="279">
        <f>'приложение 5'!S70</f>
        <v>96</v>
      </c>
    </row>
    <row r="57" spans="1:8" ht="31.5">
      <c r="A57" s="2" t="s">
        <v>521</v>
      </c>
      <c r="B57" s="178" t="s">
        <v>610</v>
      </c>
      <c r="C57" s="182"/>
      <c r="D57" s="182"/>
      <c r="E57" s="155"/>
      <c r="F57" s="279">
        <f>F58+F61</f>
        <v>511</v>
      </c>
      <c r="G57" s="279">
        <f>G58+G61</f>
        <v>480</v>
      </c>
      <c r="H57" s="279">
        <f>H58+H61</f>
        <v>451</v>
      </c>
    </row>
    <row r="58" spans="1:8" ht="63">
      <c r="A58" s="2" t="s">
        <v>0</v>
      </c>
      <c r="B58" s="178" t="s">
        <v>611</v>
      </c>
      <c r="C58" s="182"/>
      <c r="D58" s="182"/>
      <c r="E58" s="155"/>
      <c r="F58" s="279">
        <f>F60+F59</f>
        <v>139</v>
      </c>
      <c r="G58" s="279">
        <f>G60+G59</f>
        <v>108</v>
      </c>
      <c r="H58" s="279">
        <f>H60+H59</f>
        <v>79</v>
      </c>
    </row>
    <row r="59" spans="1:25" ht="47.25">
      <c r="A59" s="2" t="s">
        <v>299</v>
      </c>
      <c r="B59" s="178" t="s">
        <v>611</v>
      </c>
      <c r="C59" s="179" t="s">
        <v>616</v>
      </c>
      <c r="D59" s="179" t="s">
        <v>87</v>
      </c>
      <c r="E59" s="155">
        <v>240</v>
      </c>
      <c r="F59" s="279">
        <f>'приложение 5'!Q73</f>
        <v>7</v>
      </c>
      <c r="G59" s="279">
        <f>'приложение 5'!R73</f>
        <v>0</v>
      </c>
      <c r="H59" s="279">
        <f>'приложение 5'!S73</f>
        <v>7</v>
      </c>
      <c r="Y59" s="183" t="s">
        <v>262</v>
      </c>
    </row>
    <row r="60" spans="1:8" ht="31.5">
      <c r="A60" s="2" t="s">
        <v>303</v>
      </c>
      <c r="B60" s="178" t="s">
        <v>611</v>
      </c>
      <c r="C60" s="179" t="s">
        <v>616</v>
      </c>
      <c r="D60" s="182" t="s">
        <v>89</v>
      </c>
      <c r="E60" s="155">
        <v>310</v>
      </c>
      <c r="F60" s="279">
        <f>'приложение 5'!Q418</f>
        <v>132</v>
      </c>
      <c r="G60" s="279">
        <f>'приложение 5'!R418</f>
        <v>108</v>
      </c>
      <c r="H60" s="279">
        <f>'приложение 5'!S418</f>
        <v>72</v>
      </c>
    </row>
    <row r="61" spans="1:8" ht="15.75">
      <c r="A61" s="2" t="s">
        <v>469</v>
      </c>
      <c r="B61" s="178" t="s">
        <v>612</v>
      </c>
      <c r="C61" s="182"/>
      <c r="D61" s="182"/>
      <c r="E61" s="155"/>
      <c r="F61" s="279">
        <f>F62</f>
        <v>372</v>
      </c>
      <c r="G61" s="279">
        <f>G62</f>
        <v>372</v>
      </c>
      <c r="H61" s="279">
        <f>H62</f>
        <v>372</v>
      </c>
    </row>
    <row r="62" spans="1:8" ht="31.5">
      <c r="A62" s="2" t="s">
        <v>467</v>
      </c>
      <c r="B62" s="178" t="s">
        <v>612</v>
      </c>
      <c r="C62" s="179" t="s">
        <v>616</v>
      </c>
      <c r="D62" s="182" t="s">
        <v>89</v>
      </c>
      <c r="E62" s="155">
        <v>330</v>
      </c>
      <c r="F62" s="279">
        <f>'приложение 5'!Q420</f>
        <v>372</v>
      </c>
      <c r="G62" s="279">
        <f>'приложение 5'!R420</f>
        <v>372</v>
      </c>
      <c r="H62" s="279">
        <f>'приложение 5'!S420</f>
        <v>372</v>
      </c>
    </row>
    <row r="63" spans="1:8" s="205" customFormat="1" ht="47.25">
      <c r="A63" s="425" t="s">
        <v>558</v>
      </c>
      <c r="B63" s="197" t="s">
        <v>613</v>
      </c>
      <c r="C63" s="204"/>
      <c r="D63" s="204"/>
      <c r="E63" s="197"/>
      <c r="F63" s="291">
        <f>F64+F67+F72+F81+F84</f>
        <v>26133.399999999998</v>
      </c>
      <c r="G63" s="291">
        <f>G64+G67+G72+G81+G84</f>
        <v>16933.7</v>
      </c>
      <c r="H63" s="291">
        <f>H64+H67+H72+H81+H84</f>
        <v>17484</v>
      </c>
    </row>
    <row r="64" spans="1:8" ht="78.75">
      <c r="A64" s="8" t="s">
        <v>382</v>
      </c>
      <c r="B64" s="178" t="s">
        <v>614</v>
      </c>
      <c r="C64" s="182"/>
      <c r="D64" s="182"/>
      <c r="E64" s="155"/>
      <c r="F64" s="279">
        <f aca="true" t="shared" si="1" ref="F64:H65">F65</f>
        <v>160</v>
      </c>
      <c r="G64" s="279">
        <f t="shared" si="1"/>
        <v>160</v>
      </c>
      <c r="H64" s="279">
        <f t="shared" si="1"/>
        <v>160</v>
      </c>
    </row>
    <row r="65" spans="1:8" ht="15.75">
      <c r="A65" s="8" t="s">
        <v>43</v>
      </c>
      <c r="B65" s="178" t="s">
        <v>615</v>
      </c>
      <c r="C65" s="182"/>
      <c r="D65" s="182"/>
      <c r="E65" s="155"/>
      <c r="F65" s="279">
        <f t="shared" si="1"/>
        <v>160</v>
      </c>
      <c r="G65" s="279">
        <f t="shared" si="1"/>
        <v>160</v>
      </c>
      <c r="H65" s="279">
        <f t="shared" si="1"/>
        <v>160</v>
      </c>
    </row>
    <row r="66" spans="1:8" ht="15.75">
      <c r="A66" s="8" t="s">
        <v>301</v>
      </c>
      <c r="B66" s="178" t="s">
        <v>615</v>
      </c>
      <c r="C66" s="179" t="s">
        <v>616</v>
      </c>
      <c r="D66" s="182" t="s">
        <v>125</v>
      </c>
      <c r="E66" s="155">
        <v>610</v>
      </c>
      <c r="F66" s="279">
        <f>'приложение 5'!Q462</f>
        <v>160</v>
      </c>
      <c r="G66" s="279">
        <f>'приложение 5'!R462</f>
        <v>160</v>
      </c>
      <c r="H66" s="279">
        <f>'приложение 5'!S462</f>
        <v>160</v>
      </c>
    </row>
    <row r="67" spans="1:8" ht="31.5">
      <c r="A67" s="8" t="s">
        <v>44</v>
      </c>
      <c r="B67" s="178" t="s">
        <v>617</v>
      </c>
      <c r="C67" s="182"/>
      <c r="D67" s="182"/>
      <c r="E67" s="155"/>
      <c r="F67" s="279">
        <f>F68+F70</f>
        <v>14799.199999999999</v>
      </c>
      <c r="G67" s="279">
        <f>G68+G70</f>
        <v>15446.2</v>
      </c>
      <c r="H67" s="279">
        <f>H68+H70</f>
        <v>15996.5</v>
      </c>
    </row>
    <row r="68" spans="1:8" ht="15.75">
      <c r="A68" s="8" t="s">
        <v>43</v>
      </c>
      <c r="B68" s="178" t="s">
        <v>618</v>
      </c>
      <c r="C68" s="182"/>
      <c r="D68" s="182"/>
      <c r="E68" s="155"/>
      <c r="F68" s="279">
        <f>F69</f>
        <v>9466.8</v>
      </c>
      <c r="G68" s="279">
        <f>G69</f>
        <v>9668.6</v>
      </c>
      <c r="H68" s="279">
        <f>H69</f>
        <v>9677.3</v>
      </c>
    </row>
    <row r="69" spans="1:8" ht="15.75">
      <c r="A69" s="8" t="s">
        <v>301</v>
      </c>
      <c r="B69" s="178" t="s">
        <v>618</v>
      </c>
      <c r="C69" s="179" t="s">
        <v>616</v>
      </c>
      <c r="D69" s="182" t="s">
        <v>125</v>
      </c>
      <c r="E69" s="155">
        <v>610</v>
      </c>
      <c r="F69" s="279">
        <f>'приложение 5'!Q465</f>
        <v>9466.8</v>
      </c>
      <c r="G69" s="279">
        <f>'приложение 5'!R465</f>
        <v>9668.6</v>
      </c>
      <c r="H69" s="279">
        <f>'приложение 5'!S465</f>
        <v>9677.3</v>
      </c>
    </row>
    <row r="70" spans="1:8" ht="63">
      <c r="A70" s="8" t="s">
        <v>374</v>
      </c>
      <c r="B70" s="178" t="s">
        <v>619</v>
      </c>
      <c r="C70" s="182"/>
      <c r="D70" s="182"/>
      <c r="E70" s="155"/>
      <c r="F70" s="279">
        <f>F71</f>
        <v>5332.4</v>
      </c>
      <c r="G70" s="279">
        <f>G71</f>
        <v>5777.6</v>
      </c>
      <c r="H70" s="279">
        <f>H71</f>
        <v>6319.2</v>
      </c>
    </row>
    <row r="71" spans="1:8" ht="15.75">
      <c r="A71" s="8" t="s">
        <v>301</v>
      </c>
      <c r="B71" s="178" t="s">
        <v>619</v>
      </c>
      <c r="C71" s="179" t="s">
        <v>616</v>
      </c>
      <c r="D71" s="182" t="s">
        <v>125</v>
      </c>
      <c r="E71" s="155">
        <v>610</v>
      </c>
      <c r="F71" s="279">
        <f>'приложение 5'!Q467</f>
        <v>5332.4</v>
      </c>
      <c r="G71" s="279">
        <f>'приложение 5'!R467</f>
        <v>5777.6</v>
      </c>
      <c r="H71" s="279">
        <f>'приложение 5'!S467</f>
        <v>6319.2</v>
      </c>
    </row>
    <row r="72" spans="1:8" ht="63">
      <c r="A72" s="8" t="s">
        <v>448</v>
      </c>
      <c r="B72" s="178" t="s">
        <v>620</v>
      </c>
      <c r="C72" s="182"/>
      <c r="D72" s="182"/>
      <c r="E72" s="155"/>
      <c r="F72" s="279">
        <f>F75+F77+F79+F73</f>
        <v>8142.2</v>
      </c>
      <c r="G72" s="279">
        <f>G75+G77+G79+G73</f>
        <v>666.7</v>
      </c>
      <c r="H72" s="279">
        <f>H75+H77+H79+H73</f>
        <v>666.7</v>
      </c>
    </row>
    <row r="73" spans="1:8" ht="63" hidden="1">
      <c r="A73" s="367" t="s">
        <v>917</v>
      </c>
      <c r="B73" s="178" t="s">
        <v>919</v>
      </c>
      <c r="C73" s="179"/>
      <c r="D73" s="182"/>
      <c r="E73" s="155"/>
      <c r="F73" s="279">
        <f>F74</f>
        <v>0</v>
      </c>
      <c r="G73" s="279">
        <f>G74</f>
        <v>0</v>
      </c>
      <c r="H73" s="279">
        <f>H74</f>
        <v>0</v>
      </c>
    </row>
    <row r="74" spans="1:8" ht="15.75" hidden="1">
      <c r="A74" s="2" t="s">
        <v>301</v>
      </c>
      <c r="B74" s="178" t="s">
        <v>919</v>
      </c>
      <c r="C74" s="179" t="s">
        <v>616</v>
      </c>
      <c r="D74" s="179" t="s">
        <v>125</v>
      </c>
      <c r="E74" s="155">
        <v>610</v>
      </c>
      <c r="F74" s="279">
        <f>'приложение 5'!Q470</f>
        <v>0</v>
      </c>
      <c r="G74" s="279">
        <f>'приложение 5'!R470</f>
        <v>0</v>
      </c>
      <c r="H74" s="279">
        <f>'приложение 5'!S470</f>
        <v>0</v>
      </c>
    </row>
    <row r="75" spans="1:8" ht="63">
      <c r="A75" s="8" t="s">
        <v>383</v>
      </c>
      <c r="B75" s="178" t="s">
        <v>621</v>
      </c>
      <c r="C75" s="182"/>
      <c r="D75" s="182"/>
      <c r="E75" s="155"/>
      <c r="F75" s="279">
        <f>F76</f>
        <v>1000</v>
      </c>
      <c r="G75" s="279">
        <f>G76</f>
        <v>666.7</v>
      </c>
      <c r="H75" s="279">
        <f>H76</f>
        <v>666.7</v>
      </c>
    </row>
    <row r="76" spans="1:8" ht="15.75">
      <c r="A76" s="8" t="s">
        <v>301</v>
      </c>
      <c r="B76" s="178" t="s">
        <v>621</v>
      </c>
      <c r="C76" s="179" t="s">
        <v>616</v>
      </c>
      <c r="D76" s="182" t="s">
        <v>125</v>
      </c>
      <c r="E76" s="155">
        <v>610</v>
      </c>
      <c r="F76" s="279">
        <f>'приложение 5'!Q472</f>
        <v>1000</v>
      </c>
      <c r="G76" s="279">
        <f>'приложение 5'!R472</f>
        <v>666.7</v>
      </c>
      <c r="H76" s="279">
        <f>'приложение 5'!S472</f>
        <v>666.7</v>
      </c>
    </row>
    <row r="77" spans="1:8" ht="47.25" hidden="1">
      <c r="A77" s="176" t="s">
        <v>826</v>
      </c>
      <c r="B77" s="178" t="s">
        <v>827</v>
      </c>
      <c r="C77" s="179"/>
      <c r="D77" s="182"/>
      <c r="E77" s="155"/>
      <c r="F77" s="279">
        <f>F78</f>
        <v>0</v>
      </c>
      <c r="G77" s="279">
        <f>G78</f>
        <v>0</v>
      </c>
      <c r="H77" s="279">
        <f>H78</f>
        <v>0</v>
      </c>
    </row>
    <row r="78" spans="1:8" ht="15.75" hidden="1">
      <c r="A78" s="8" t="s">
        <v>301</v>
      </c>
      <c r="B78" s="178" t="s">
        <v>827</v>
      </c>
      <c r="C78" s="179" t="s">
        <v>616</v>
      </c>
      <c r="D78" s="179" t="s">
        <v>125</v>
      </c>
      <c r="E78" s="155">
        <v>610</v>
      </c>
      <c r="F78" s="279">
        <f>'приложение 5'!Q474</f>
        <v>0</v>
      </c>
      <c r="G78" s="279">
        <f>'приложение 5'!R474</f>
        <v>0</v>
      </c>
      <c r="H78" s="279">
        <f>'приложение 5'!S474</f>
        <v>0</v>
      </c>
    </row>
    <row r="79" spans="1:8" ht="78.75">
      <c r="A79" s="176" t="s">
        <v>913</v>
      </c>
      <c r="B79" s="178" t="s">
        <v>914</v>
      </c>
      <c r="C79" s="179"/>
      <c r="D79" s="179"/>
      <c r="E79" s="155"/>
      <c r="F79" s="279">
        <f>F80</f>
        <v>7142.2</v>
      </c>
      <c r="G79" s="279">
        <f>G80</f>
        <v>0</v>
      </c>
      <c r="H79" s="279">
        <f>H80</f>
        <v>0</v>
      </c>
    </row>
    <row r="80" spans="1:8" ht="15.75">
      <c r="A80" s="8" t="s">
        <v>301</v>
      </c>
      <c r="B80" s="178" t="s">
        <v>914</v>
      </c>
      <c r="C80" s="179" t="s">
        <v>616</v>
      </c>
      <c r="D80" s="179" t="s">
        <v>125</v>
      </c>
      <c r="E80" s="155">
        <v>610</v>
      </c>
      <c r="F80" s="279">
        <f>'приложение 5'!Q476</f>
        <v>7142.2</v>
      </c>
      <c r="G80" s="279">
        <f>'приложение 5'!R476</f>
        <v>0</v>
      </c>
      <c r="H80" s="279">
        <f>'приложение 5'!S476</f>
        <v>0</v>
      </c>
    </row>
    <row r="81" spans="1:8" ht="47.25">
      <c r="A81" s="176" t="s">
        <v>970</v>
      </c>
      <c r="B81" s="178" t="s">
        <v>975</v>
      </c>
      <c r="C81" s="179"/>
      <c r="D81" s="179"/>
      <c r="E81" s="155"/>
      <c r="F81" s="279">
        <f aca="true" t="shared" si="2" ref="F81:H82">F82</f>
        <v>388.8</v>
      </c>
      <c r="G81" s="279">
        <f t="shared" si="2"/>
        <v>0</v>
      </c>
      <c r="H81" s="279">
        <f t="shared" si="2"/>
        <v>0</v>
      </c>
    </row>
    <row r="82" spans="1:8" ht="47.25">
      <c r="A82" s="176" t="s">
        <v>973</v>
      </c>
      <c r="B82" s="178" t="s">
        <v>974</v>
      </c>
      <c r="C82" s="179"/>
      <c r="D82" s="179"/>
      <c r="E82" s="155"/>
      <c r="F82" s="279">
        <f t="shared" si="2"/>
        <v>388.8</v>
      </c>
      <c r="G82" s="279">
        <f t="shared" si="2"/>
        <v>0</v>
      </c>
      <c r="H82" s="279">
        <f t="shared" si="2"/>
        <v>0</v>
      </c>
    </row>
    <row r="83" spans="1:8" ht="15.75">
      <c r="A83" s="8" t="s">
        <v>301</v>
      </c>
      <c r="B83" s="178" t="s">
        <v>974</v>
      </c>
      <c r="C83" s="179" t="s">
        <v>616</v>
      </c>
      <c r="D83" s="179" t="s">
        <v>125</v>
      </c>
      <c r="E83" s="155">
        <v>610</v>
      </c>
      <c r="F83" s="279">
        <f>'приложение 5'!Q479</f>
        <v>388.8</v>
      </c>
      <c r="G83" s="279">
        <f>'приложение 5'!R479</f>
        <v>0</v>
      </c>
      <c r="H83" s="279">
        <f>'приложение 5'!S479</f>
        <v>0</v>
      </c>
    </row>
    <row r="84" spans="1:8" ht="47.25">
      <c r="A84" s="2" t="s">
        <v>1045</v>
      </c>
      <c r="B84" s="178" t="s">
        <v>1048</v>
      </c>
      <c r="C84" s="179"/>
      <c r="D84" s="179"/>
      <c r="E84" s="155"/>
      <c r="F84" s="279">
        <f>F87+F85</f>
        <v>2643.2</v>
      </c>
      <c r="G84" s="279">
        <f>G87+G85</f>
        <v>660.8000000000001</v>
      </c>
      <c r="H84" s="279">
        <f>H87+H85</f>
        <v>660.8000000000001</v>
      </c>
    </row>
    <row r="85" spans="1:8" ht="15.75">
      <c r="A85" s="2" t="s">
        <v>43</v>
      </c>
      <c r="B85" s="178" t="s">
        <v>1110</v>
      </c>
      <c r="C85" s="179"/>
      <c r="D85" s="179"/>
      <c r="E85" s="155"/>
      <c r="F85" s="279">
        <f>F86</f>
        <v>1100</v>
      </c>
      <c r="G85" s="279">
        <f>G86</f>
        <v>0</v>
      </c>
      <c r="H85" s="279">
        <f>H86</f>
        <v>0</v>
      </c>
    </row>
    <row r="86" spans="1:8" ht="47.25">
      <c r="A86" s="2" t="s">
        <v>1045</v>
      </c>
      <c r="B86" s="178" t="s">
        <v>1110</v>
      </c>
      <c r="C86" s="179" t="s">
        <v>616</v>
      </c>
      <c r="D86" s="179" t="s">
        <v>125</v>
      </c>
      <c r="E86" s="155">
        <v>610</v>
      </c>
      <c r="F86" s="279">
        <f>'приложение 5'!Q482</f>
        <v>1100</v>
      </c>
      <c r="G86" s="279">
        <f>'приложение 5'!R482</f>
        <v>0</v>
      </c>
      <c r="H86" s="279">
        <f>'приложение 5'!S482</f>
        <v>0</v>
      </c>
    </row>
    <row r="87" spans="1:8" ht="15.75">
      <c r="A87" s="2" t="s">
        <v>1046</v>
      </c>
      <c r="B87" s="178" t="s">
        <v>1047</v>
      </c>
      <c r="C87" s="179"/>
      <c r="D87" s="179"/>
      <c r="E87" s="155"/>
      <c r="F87" s="279">
        <f>F88</f>
        <v>1543.2</v>
      </c>
      <c r="G87" s="279">
        <f>G88</f>
        <v>660.8000000000001</v>
      </c>
      <c r="H87" s="279">
        <f>H88</f>
        <v>660.8000000000001</v>
      </c>
    </row>
    <row r="88" spans="1:8" ht="15.75">
      <c r="A88" s="2" t="s">
        <v>301</v>
      </c>
      <c r="B88" s="178" t="s">
        <v>1047</v>
      </c>
      <c r="C88" s="179" t="s">
        <v>616</v>
      </c>
      <c r="D88" s="179" t="s">
        <v>125</v>
      </c>
      <c r="E88" s="155">
        <v>610</v>
      </c>
      <c r="F88" s="279">
        <f>'приложение 5'!Q484</f>
        <v>1543.2</v>
      </c>
      <c r="G88" s="279">
        <f>'приложение 5'!R484</f>
        <v>660.8000000000001</v>
      </c>
      <c r="H88" s="279">
        <f>'приложение 5'!S484</f>
        <v>660.8000000000001</v>
      </c>
    </row>
    <row r="89" spans="1:8" s="426" customFormat="1" ht="47.25">
      <c r="A89" s="424" t="s">
        <v>581</v>
      </c>
      <c r="B89" s="197" t="s">
        <v>309</v>
      </c>
      <c r="C89" s="204"/>
      <c r="D89" s="204"/>
      <c r="E89" s="197"/>
      <c r="F89" s="291">
        <f>F90+F108+F135+F145+F177+F184+F187+F190+F150</f>
        <v>413676.6</v>
      </c>
      <c r="G89" s="291">
        <f>G90+G108+G135+G145+G177+G184+G187+G190+G150</f>
        <v>376919.1</v>
      </c>
      <c r="H89" s="291">
        <f>H90+H108+H135+H145+H177+H184+H187+H190+H150</f>
        <v>418785.60000000003</v>
      </c>
    </row>
    <row r="90" spans="1:8" s="200" customFormat="1" ht="31.5">
      <c r="A90" s="369" t="s">
        <v>270</v>
      </c>
      <c r="B90" s="178" t="s">
        <v>314</v>
      </c>
      <c r="C90" s="182"/>
      <c r="D90" s="182"/>
      <c r="E90" s="155"/>
      <c r="F90" s="279">
        <f>F91+F93+F101+F99+F103+F106+F96</f>
        <v>108743.09999999999</v>
      </c>
      <c r="G90" s="279">
        <f>G91+G93+G101+G99+G103+G106+G96</f>
        <v>112468.2</v>
      </c>
      <c r="H90" s="279">
        <f>H91+H93+H101+H99+H103+H106+H96</f>
        <v>115056.00000000001</v>
      </c>
    </row>
    <row r="91" spans="1:8" s="200" customFormat="1" ht="31.5">
      <c r="A91" s="369" t="s">
        <v>60</v>
      </c>
      <c r="B91" s="178" t="s">
        <v>622</v>
      </c>
      <c r="C91" s="182"/>
      <c r="D91" s="182"/>
      <c r="E91" s="155"/>
      <c r="F91" s="279">
        <f>F92</f>
        <v>153.99999999999997</v>
      </c>
      <c r="G91" s="279">
        <f>G92</f>
        <v>20</v>
      </c>
      <c r="H91" s="279">
        <f>H92</f>
        <v>20</v>
      </c>
    </row>
    <row r="92" spans="1:8" s="200" customFormat="1" ht="47.25">
      <c r="A92" s="369" t="s">
        <v>299</v>
      </c>
      <c r="B92" s="178" t="s">
        <v>622</v>
      </c>
      <c r="C92" s="179" t="s">
        <v>596</v>
      </c>
      <c r="D92" s="182" t="s">
        <v>93</v>
      </c>
      <c r="E92" s="155">
        <v>240</v>
      </c>
      <c r="F92" s="279">
        <f>'приложение 5'!Q848</f>
        <v>153.99999999999997</v>
      </c>
      <c r="G92" s="279">
        <f>'приложение 5'!R848</f>
        <v>20</v>
      </c>
      <c r="H92" s="279">
        <f>'приложение 5'!S848</f>
        <v>20</v>
      </c>
    </row>
    <row r="93" spans="1:8" s="200" customFormat="1" ht="15.75">
      <c r="A93" s="369" t="s">
        <v>53</v>
      </c>
      <c r="B93" s="178" t="s">
        <v>623</v>
      </c>
      <c r="C93" s="182"/>
      <c r="D93" s="182"/>
      <c r="E93" s="155"/>
      <c r="F93" s="279">
        <f>F94+F95</f>
        <v>20803.2</v>
      </c>
      <c r="G93" s="279">
        <f>G94+G95</f>
        <v>21572.600000000002</v>
      </c>
      <c r="H93" s="279">
        <f>H94+H95</f>
        <v>19863.1</v>
      </c>
    </row>
    <row r="94" spans="1:8" s="200" customFormat="1" ht="15.75">
      <c r="A94" s="369" t="s">
        <v>301</v>
      </c>
      <c r="B94" s="178" t="s">
        <v>623</v>
      </c>
      <c r="C94" s="179" t="s">
        <v>596</v>
      </c>
      <c r="D94" s="182" t="s">
        <v>92</v>
      </c>
      <c r="E94" s="155">
        <v>610</v>
      </c>
      <c r="F94" s="279">
        <f>'приложение 5'!Q739</f>
        <v>20748.7</v>
      </c>
      <c r="G94" s="279">
        <f>'приложение 5'!R739</f>
        <v>21572.600000000002</v>
      </c>
      <c r="H94" s="279">
        <f>'приложение 5'!S739</f>
        <v>19863.1</v>
      </c>
    </row>
    <row r="95" spans="1:8" s="200" customFormat="1" ht="47.25">
      <c r="A95" s="2" t="s">
        <v>299</v>
      </c>
      <c r="B95" s="178" t="s">
        <v>623</v>
      </c>
      <c r="C95" s="179" t="s">
        <v>596</v>
      </c>
      <c r="D95" s="182" t="s">
        <v>92</v>
      </c>
      <c r="E95" s="155">
        <v>240</v>
      </c>
      <c r="F95" s="279">
        <f>'приложение 5'!Q740</f>
        <v>54.5</v>
      </c>
      <c r="G95" s="279">
        <f>'приложение 5'!R740</f>
        <v>0</v>
      </c>
      <c r="H95" s="279">
        <f>'приложение 5'!S740</f>
        <v>0</v>
      </c>
    </row>
    <row r="96" spans="1:8" s="200" customFormat="1" ht="31.5">
      <c r="A96" s="370" t="str">
        <f>A111</f>
        <v>Школы - детские сады, школы начальные, неполные средние и средние</v>
      </c>
      <c r="B96" s="178" t="s">
        <v>904</v>
      </c>
      <c r="C96" s="179"/>
      <c r="D96" s="182"/>
      <c r="E96" s="155"/>
      <c r="F96" s="279">
        <f>F97+F98</f>
        <v>65.4</v>
      </c>
      <c r="G96" s="279">
        <f>G97+G98</f>
        <v>0</v>
      </c>
      <c r="H96" s="279">
        <f>H97+H98</f>
        <v>0</v>
      </c>
    </row>
    <row r="97" spans="1:8" s="200" customFormat="1" ht="15.75">
      <c r="A97" s="370" t="str">
        <f>A100</f>
        <v>Субсидии бюджетным учреждениям</v>
      </c>
      <c r="B97" s="178" t="s">
        <v>904</v>
      </c>
      <c r="C97" s="179" t="s">
        <v>596</v>
      </c>
      <c r="D97" s="179" t="s">
        <v>92</v>
      </c>
      <c r="E97" s="155">
        <v>610</v>
      </c>
      <c r="F97" s="279">
        <f>'приложение 5'!Q742</f>
        <v>65.4</v>
      </c>
      <c r="G97" s="279">
        <f>'приложение 5'!R742</f>
        <v>0</v>
      </c>
      <c r="H97" s="279">
        <f>'приложение 5'!S742</f>
        <v>0</v>
      </c>
    </row>
    <row r="98" spans="1:8" s="200" customFormat="1" ht="78.75">
      <c r="A98" s="370" t="str">
        <f>A101</f>
        <v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v>
      </c>
      <c r="B98" s="178" t="s">
        <v>904</v>
      </c>
      <c r="C98" s="179" t="s">
        <v>596</v>
      </c>
      <c r="D98" s="179" t="s">
        <v>95</v>
      </c>
      <c r="E98" s="155">
        <v>610</v>
      </c>
      <c r="F98" s="279">
        <f>'приложение 5'!Q774</f>
        <v>0</v>
      </c>
      <c r="G98" s="279">
        <f>'приложение 5'!R774</f>
        <v>0</v>
      </c>
      <c r="H98" s="279">
        <f>'приложение 5'!S774</f>
        <v>0</v>
      </c>
    </row>
    <row r="99" spans="1:8" s="200" customFormat="1" ht="63">
      <c r="A99" s="170" t="s">
        <v>374</v>
      </c>
      <c r="B99" s="178" t="s">
        <v>624</v>
      </c>
      <c r="C99" s="182"/>
      <c r="D99" s="182"/>
      <c r="E99" s="155"/>
      <c r="F99" s="279">
        <f>F100</f>
        <v>6543.6</v>
      </c>
      <c r="G99" s="279">
        <f>G100</f>
        <v>6802</v>
      </c>
      <c r="H99" s="279">
        <f>H100</f>
        <v>7154.1</v>
      </c>
    </row>
    <row r="100" spans="1:8" s="200" customFormat="1" ht="15.75">
      <c r="A100" s="1" t="s">
        <v>301</v>
      </c>
      <c r="B100" s="178" t="s">
        <v>624</v>
      </c>
      <c r="C100" s="179" t="s">
        <v>596</v>
      </c>
      <c r="D100" s="179" t="s">
        <v>92</v>
      </c>
      <c r="E100" s="155">
        <v>610</v>
      </c>
      <c r="F100" s="279">
        <f>'приложение 5'!Q744</f>
        <v>6543.6</v>
      </c>
      <c r="G100" s="279">
        <f>'приложение 5'!R744</f>
        <v>6802</v>
      </c>
      <c r="H100" s="279">
        <f>'приложение 5'!S744</f>
        <v>7154.1</v>
      </c>
    </row>
    <row r="101" spans="1:8" s="200" customFormat="1" ht="78.75">
      <c r="A101" s="369" t="s">
        <v>55</v>
      </c>
      <c r="B101" s="178" t="s">
        <v>625</v>
      </c>
      <c r="C101" s="182"/>
      <c r="D101" s="182"/>
      <c r="E101" s="155"/>
      <c r="F101" s="279">
        <f>F102</f>
        <v>80711.2</v>
      </c>
      <c r="G101" s="279">
        <f>G102</f>
        <v>83607.9</v>
      </c>
      <c r="H101" s="279">
        <f>H102</f>
        <v>87553.1</v>
      </c>
    </row>
    <row r="102" spans="1:8" s="200" customFormat="1" ht="15.75">
      <c r="A102" s="369" t="s">
        <v>301</v>
      </c>
      <c r="B102" s="178" t="s">
        <v>625</v>
      </c>
      <c r="C102" s="179" t="s">
        <v>596</v>
      </c>
      <c r="D102" s="182" t="s">
        <v>92</v>
      </c>
      <c r="E102" s="155">
        <v>610</v>
      </c>
      <c r="F102" s="279">
        <f>'приложение 5'!Q746</f>
        <v>80711.2</v>
      </c>
      <c r="G102" s="279">
        <f>'приложение 5'!R746</f>
        <v>83607.9</v>
      </c>
      <c r="H102" s="279">
        <f>'приложение 5'!S746</f>
        <v>87553.1</v>
      </c>
    </row>
    <row r="103" spans="1:8" s="200" customFormat="1" ht="94.5" hidden="1">
      <c r="A103" s="369" t="s">
        <v>52</v>
      </c>
      <c r="B103" s="178" t="s">
        <v>645</v>
      </c>
      <c r="C103" s="182"/>
      <c r="D103" s="182"/>
      <c r="E103" s="155"/>
      <c r="F103" s="279">
        <f>SUM(F104:F105)</f>
        <v>0</v>
      </c>
      <c r="G103" s="279">
        <f>SUM(G104:G105)</f>
        <v>0</v>
      </c>
      <c r="H103" s="279">
        <f>SUM(H104:H105)</f>
        <v>0</v>
      </c>
    </row>
    <row r="104" spans="1:8" s="200" customFormat="1" ht="47.25" hidden="1">
      <c r="A104" s="369" t="s">
        <v>299</v>
      </c>
      <c r="B104" s="178" t="s">
        <v>645</v>
      </c>
      <c r="C104" s="179" t="s">
        <v>596</v>
      </c>
      <c r="D104" s="182" t="s">
        <v>94</v>
      </c>
      <c r="E104" s="155">
        <v>240</v>
      </c>
      <c r="F104" s="279">
        <f>'приложение 5'!Q905</f>
        <v>0</v>
      </c>
      <c r="G104" s="279">
        <f>'приложение 5'!R905</f>
        <v>0</v>
      </c>
      <c r="H104" s="279">
        <f>'приложение 5'!S905</f>
        <v>0</v>
      </c>
    </row>
    <row r="105" spans="1:8" s="200" customFormat="1" ht="31.5" hidden="1">
      <c r="A105" s="369" t="s">
        <v>304</v>
      </c>
      <c r="B105" s="178" t="s">
        <v>645</v>
      </c>
      <c r="C105" s="179" t="s">
        <v>596</v>
      </c>
      <c r="D105" s="182" t="s">
        <v>94</v>
      </c>
      <c r="E105" s="155">
        <v>320</v>
      </c>
      <c r="F105" s="279">
        <f>'приложение 5'!Q906</f>
        <v>0</v>
      </c>
      <c r="G105" s="279">
        <f>'приложение 5'!R906</f>
        <v>0</v>
      </c>
      <c r="H105" s="279">
        <f>'приложение 5'!S906</f>
        <v>0</v>
      </c>
    </row>
    <row r="106" spans="1:8" ht="31.5">
      <c r="A106" s="369" t="s">
        <v>477</v>
      </c>
      <c r="B106" s="178" t="s">
        <v>628</v>
      </c>
      <c r="C106" s="182"/>
      <c r="D106" s="182"/>
      <c r="E106" s="155"/>
      <c r="F106" s="279">
        <f>F107</f>
        <v>465.7</v>
      </c>
      <c r="G106" s="279">
        <f>G107</f>
        <v>465.7</v>
      </c>
      <c r="H106" s="279">
        <f>H107</f>
        <v>465.7</v>
      </c>
    </row>
    <row r="107" spans="1:8" ht="15.75">
      <c r="A107" s="369" t="s">
        <v>301</v>
      </c>
      <c r="B107" s="178" t="s">
        <v>628</v>
      </c>
      <c r="C107" s="179" t="s">
        <v>596</v>
      </c>
      <c r="D107" s="179" t="s">
        <v>93</v>
      </c>
      <c r="E107" s="155">
        <v>610</v>
      </c>
      <c r="F107" s="279">
        <f>'приложение 5'!Q850</f>
        <v>465.7</v>
      </c>
      <c r="G107" s="279">
        <f>'приложение 5'!R850</f>
        <v>465.7</v>
      </c>
      <c r="H107" s="279">
        <f>'приложение 5'!S850</f>
        <v>465.7</v>
      </c>
    </row>
    <row r="108" spans="1:8" ht="31.5">
      <c r="A108" s="366" t="s">
        <v>271</v>
      </c>
      <c r="B108" s="178" t="s">
        <v>626</v>
      </c>
      <c r="C108" s="182"/>
      <c r="D108" s="182"/>
      <c r="E108" s="155"/>
      <c r="F108" s="279">
        <f>F109+F111+F114+F116+F121+F125+F129+F118+F127+F131+F133</f>
        <v>235611.1</v>
      </c>
      <c r="G108" s="279">
        <f>G109+G111+G114+G116+G121+G125+G129+G118+G127+G131+G133</f>
        <v>239721.00000000003</v>
      </c>
      <c r="H108" s="279">
        <f>H109+H111+H114+H116+H121+H125+H129+H118+H127+H131+H133</f>
        <v>247998.5</v>
      </c>
    </row>
    <row r="109" spans="1:8" ht="31.5">
      <c r="A109" s="369" t="s">
        <v>60</v>
      </c>
      <c r="B109" s="178" t="s">
        <v>627</v>
      </c>
      <c r="C109" s="182"/>
      <c r="D109" s="182"/>
      <c r="E109" s="155"/>
      <c r="F109" s="279">
        <f>F110</f>
        <v>190.2</v>
      </c>
      <c r="G109" s="279">
        <f>G110</f>
        <v>120.5</v>
      </c>
      <c r="H109" s="279">
        <f>H110</f>
        <v>110</v>
      </c>
    </row>
    <row r="110" spans="1:8" ht="47.25">
      <c r="A110" s="369" t="s">
        <v>299</v>
      </c>
      <c r="B110" s="178" t="s">
        <v>627</v>
      </c>
      <c r="C110" s="179" t="s">
        <v>596</v>
      </c>
      <c r="D110" s="182" t="s">
        <v>93</v>
      </c>
      <c r="E110" s="155">
        <v>240</v>
      </c>
      <c r="F110" s="279">
        <f>'приложение 5'!Q853</f>
        <v>190.2</v>
      </c>
      <c r="G110" s="279">
        <f>'приложение 5'!R853</f>
        <v>120.5</v>
      </c>
      <c r="H110" s="279">
        <f>'приложение 5'!S853</f>
        <v>110</v>
      </c>
    </row>
    <row r="111" spans="1:8" ht="31.5">
      <c r="A111" s="369" t="s">
        <v>56</v>
      </c>
      <c r="B111" s="178" t="s">
        <v>629</v>
      </c>
      <c r="C111" s="182"/>
      <c r="D111" s="182"/>
      <c r="E111" s="155"/>
      <c r="F111" s="279">
        <f>F112+F113</f>
        <v>52580.1</v>
      </c>
      <c r="G111" s="279">
        <f>G112+G113</f>
        <v>51688.7</v>
      </c>
      <c r="H111" s="279">
        <f>H112+H113</f>
        <v>48482.3</v>
      </c>
    </row>
    <row r="112" spans="1:8" ht="15.75" hidden="1">
      <c r="A112" s="369" t="s">
        <v>301</v>
      </c>
      <c r="B112" s="178" t="s">
        <v>629</v>
      </c>
      <c r="C112" s="179" t="s">
        <v>596</v>
      </c>
      <c r="D112" s="179" t="s">
        <v>92</v>
      </c>
      <c r="E112" s="155">
        <v>610</v>
      </c>
      <c r="F112" s="279">
        <f>'приложение 5'!Q749</f>
        <v>0</v>
      </c>
      <c r="G112" s="279">
        <f>'приложение 5'!R749</f>
        <v>0</v>
      </c>
      <c r="H112" s="279">
        <f>'приложение 5'!S749</f>
        <v>0</v>
      </c>
    </row>
    <row r="113" spans="1:8" ht="15.75">
      <c r="A113" s="369" t="s">
        <v>301</v>
      </c>
      <c r="B113" s="178" t="s">
        <v>629</v>
      </c>
      <c r="C113" s="179" t="s">
        <v>596</v>
      </c>
      <c r="D113" s="182" t="s">
        <v>95</v>
      </c>
      <c r="E113" s="155">
        <v>610</v>
      </c>
      <c r="F113" s="279">
        <f>'приложение 5'!Q777</f>
        <v>52580.1</v>
      </c>
      <c r="G113" s="279">
        <f>'приложение 5'!R777</f>
        <v>51688.7</v>
      </c>
      <c r="H113" s="279">
        <f>'приложение 5'!S777</f>
        <v>48482.3</v>
      </c>
    </row>
    <row r="114" spans="1:8" ht="173.25">
      <c r="A114" s="14" t="s">
        <v>453</v>
      </c>
      <c r="B114" s="178" t="s">
        <v>630</v>
      </c>
      <c r="C114" s="182"/>
      <c r="D114" s="182"/>
      <c r="E114" s="155"/>
      <c r="F114" s="279">
        <f>F115</f>
        <v>9253.3</v>
      </c>
      <c r="G114" s="279">
        <f>G115</f>
        <v>9382.8</v>
      </c>
      <c r="H114" s="279">
        <f>H115</f>
        <v>9429.7</v>
      </c>
    </row>
    <row r="115" spans="1:8" ht="15.75">
      <c r="A115" s="14" t="s">
        <v>301</v>
      </c>
      <c r="B115" s="178" t="s">
        <v>630</v>
      </c>
      <c r="C115" s="179" t="s">
        <v>596</v>
      </c>
      <c r="D115" s="179" t="s">
        <v>95</v>
      </c>
      <c r="E115" s="155">
        <v>610</v>
      </c>
      <c r="F115" s="279">
        <f>'приложение 5'!Q779</f>
        <v>9253.3</v>
      </c>
      <c r="G115" s="279">
        <f>'приложение 5'!R779</f>
        <v>9382.8</v>
      </c>
      <c r="H115" s="279">
        <f>'приложение 5'!S779</f>
        <v>9429.7</v>
      </c>
    </row>
    <row r="116" spans="1:8" ht="63">
      <c r="A116" s="14" t="s">
        <v>374</v>
      </c>
      <c r="B116" s="178" t="s">
        <v>631</v>
      </c>
      <c r="C116" s="182"/>
      <c r="D116" s="182"/>
      <c r="E116" s="155"/>
      <c r="F116" s="279">
        <f>F117</f>
        <v>13596.4</v>
      </c>
      <c r="G116" s="279">
        <f>G117</f>
        <v>14133.3</v>
      </c>
      <c r="H116" s="279">
        <f>H117</f>
        <v>14865</v>
      </c>
    </row>
    <row r="117" spans="1:8" ht="15.75">
      <c r="A117" s="14" t="s">
        <v>301</v>
      </c>
      <c r="B117" s="178" t="s">
        <v>631</v>
      </c>
      <c r="C117" s="179" t="s">
        <v>596</v>
      </c>
      <c r="D117" s="179" t="s">
        <v>95</v>
      </c>
      <c r="E117" s="155">
        <v>610</v>
      </c>
      <c r="F117" s="279">
        <f>'приложение 5'!Q781</f>
        <v>13596.4</v>
      </c>
      <c r="G117" s="279">
        <f>'приложение 5'!R781</f>
        <v>14133.3</v>
      </c>
      <c r="H117" s="279">
        <f>'приложение 5'!S781</f>
        <v>14865</v>
      </c>
    </row>
    <row r="118" spans="1:8" ht="78.75">
      <c r="A118" s="369" t="s">
        <v>55</v>
      </c>
      <c r="B118" s="178" t="s">
        <v>632</v>
      </c>
      <c r="C118" s="182"/>
      <c r="D118" s="182"/>
      <c r="E118" s="155"/>
      <c r="F118" s="279">
        <f>F119+F120</f>
        <v>140461.9</v>
      </c>
      <c r="G118" s="279">
        <f>G119+G120</f>
        <v>145043.6</v>
      </c>
      <c r="H118" s="279">
        <f>H119+H120</f>
        <v>155977.5</v>
      </c>
    </row>
    <row r="119" spans="1:8" ht="15.75">
      <c r="A119" s="369" t="s">
        <v>301</v>
      </c>
      <c r="B119" s="178" t="s">
        <v>632</v>
      </c>
      <c r="C119" s="179" t="s">
        <v>596</v>
      </c>
      <c r="D119" s="182" t="s">
        <v>95</v>
      </c>
      <c r="E119" s="155">
        <v>610</v>
      </c>
      <c r="F119" s="279">
        <f>'приложение 5'!Q783</f>
        <v>137252.1</v>
      </c>
      <c r="G119" s="279">
        <f>'приложение 5'!R783</f>
        <v>142738.6</v>
      </c>
      <c r="H119" s="279">
        <f>'приложение 5'!S783</f>
        <v>153672.5</v>
      </c>
    </row>
    <row r="120" spans="1:8" ht="47.25">
      <c r="A120" s="369" t="s">
        <v>299</v>
      </c>
      <c r="B120" s="178" t="s">
        <v>632</v>
      </c>
      <c r="C120" s="179" t="s">
        <v>596</v>
      </c>
      <c r="D120" s="179" t="s">
        <v>93</v>
      </c>
      <c r="E120" s="155">
        <v>240</v>
      </c>
      <c r="F120" s="279">
        <f>'приложение 5'!Q855</f>
        <v>3209.7999999999997</v>
      </c>
      <c r="G120" s="279">
        <f>'приложение 5'!R855</f>
        <v>2305</v>
      </c>
      <c r="H120" s="279">
        <f>'приложение 5'!S855</f>
        <v>2305</v>
      </c>
    </row>
    <row r="121" spans="1:8" ht="94.5">
      <c r="A121" s="369" t="s">
        <v>52</v>
      </c>
      <c r="B121" s="178" t="s">
        <v>641</v>
      </c>
      <c r="C121" s="182"/>
      <c r="D121" s="182"/>
      <c r="E121" s="155"/>
      <c r="F121" s="279">
        <f>SUM(F122:F124)</f>
        <v>8426.3</v>
      </c>
      <c r="G121" s="279">
        <f>SUM(G122:G124)</f>
        <v>8426.3</v>
      </c>
      <c r="H121" s="279">
        <f>SUM(H122:H124)</f>
        <v>8426.3</v>
      </c>
    </row>
    <row r="122" spans="1:8" ht="47.25">
      <c r="A122" s="369" t="s">
        <v>299</v>
      </c>
      <c r="B122" s="178" t="s">
        <v>641</v>
      </c>
      <c r="C122" s="179" t="s">
        <v>596</v>
      </c>
      <c r="D122" s="182" t="s">
        <v>93</v>
      </c>
      <c r="E122" s="155">
        <v>240</v>
      </c>
      <c r="F122" s="279">
        <f>'приложение 5'!Q857</f>
        <v>29.3</v>
      </c>
      <c r="G122" s="279">
        <f>'приложение 5'!R857</f>
        <v>29.3</v>
      </c>
      <c r="H122" s="279">
        <f>'приложение 5'!S857</f>
        <v>29.3</v>
      </c>
    </row>
    <row r="123" spans="1:8" ht="31.5">
      <c r="A123" s="369" t="s">
        <v>304</v>
      </c>
      <c r="B123" s="178" t="s">
        <v>641</v>
      </c>
      <c r="C123" s="179" t="s">
        <v>596</v>
      </c>
      <c r="D123" s="182" t="s">
        <v>93</v>
      </c>
      <c r="E123" s="155">
        <v>320</v>
      </c>
      <c r="F123" s="279">
        <f>'приложение 5'!Q858</f>
        <v>2276.2</v>
      </c>
      <c r="G123" s="279">
        <f>'приложение 5'!R858</f>
        <v>2276.2</v>
      </c>
      <c r="H123" s="279">
        <f>'приложение 5'!S858</f>
        <v>2276.2</v>
      </c>
    </row>
    <row r="124" spans="1:8" ht="15.75">
      <c r="A124" s="369" t="s">
        <v>301</v>
      </c>
      <c r="B124" s="178" t="s">
        <v>641</v>
      </c>
      <c r="C124" s="179" t="s">
        <v>596</v>
      </c>
      <c r="D124" s="182" t="s">
        <v>93</v>
      </c>
      <c r="E124" s="155">
        <v>610</v>
      </c>
      <c r="F124" s="279">
        <f>'приложение 5'!Q859</f>
        <v>6120.8</v>
      </c>
      <c r="G124" s="279">
        <f>'приложение 5'!R859</f>
        <v>6120.8</v>
      </c>
      <c r="H124" s="279">
        <f>'приложение 5'!S859</f>
        <v>6120.8</v>
      </c>
    </row>
    <row r="125" spans="1:8" ht="63">
      <c r="A125" s="14" t="s">
        <v>454</v>
      </c>
      <c r="B125" s="178" t="s">
        <v>633</v>
      </c>
      <c r="C125" s="182"/>
      <c r="D125" s="182"/>
      <c r="E125" s="155"/>
      <c r="F125" s="279">
        <f>F126</f>
        <v>7848.6</v>
      </c>
      <c r="G125" s="279">
        <f>G126</f>
        <v>7671.5</v>
      </c>
      <c r="H125" s="279">
        <f>H126</f>
        <v>7453.4</v>
      </c>
    </row>
    <row r="126" spans="1:8" ht="15.75">
      <c r="A126" s="12" t="s">
        <v>301</v>
      </c>
      <c r="B126" s="178" t="s">
        <v>633</v>
      </c>
      <c r="C126" s="179" t="s">
        <v>596</v>
      </c>
      <c r="D126" s="179" t="s">
        <v>95</v>
      </c>
      <c r="E126" s="155">
        <v>610</v>
      </c>
      <c r="F126" s="279">
        <f>'приложение 5'!Q785</f>
        <v>7848.6</v>
      </c>
      <c r="G126" s="279">
        <f>'приложение 5'!R785</f>
        <v>7671.5</v>
      </c>
      <c r="H126" s="279">
        <f>'приложение 5'!S785</f>
        <v>7453.4</v>
      </c>
    </row>
    <row r="127" spans="1:8" ht="63">
      <c r="A127" s="20" t="s">
        <v>468</v>
      </c>
      <c r="B127" s="268" t="s">
        <v>843</v>
      </c>
      <c r="C127" s="179"/>
      <c r="D127" s="179"/>
      <c r="E127" s="155"/>
      <c r="F127" s="279">
        <f>F128</f>
        <v>989.2</v>
      </c>
      <c r="G127" s="279">
        <f>G128</f>
        <v>989.2</v>
      </c>
      <c r="H127" s="279">
        <f>H128</f>
        <v>989.2</v>
      </c>
    </row>
    <row r="128" spans="1:8" ht="47.25">
      <c r="A128" s="369" t="s">
        <v>299</v>
      </c>
      <c r="B128" s="268" t="s">
        <v>843</v>
      </c>
      <c r="C128" s="179" t="s">
        <v>596</v>
      </c>
      <c r="D128" s="179" t="s">
        <v>93</v>
      </c>
      <c r="E128" s="155">
        <v>240</v>
      </c>
      <c r="F128" s="279">
        <f>'приложение 5'!Q861</f>
        <v>989.2</v>
      </c>
      <c r="G128" s="279">
        <f>'приложение 5'!R861</f>
        <v>989.2</v>
      </c>
      <c r="H128" s="279">
        <f>'приложение 5'!S861</f>
        <v>989.2</v>
      </c>
    </row>
    <row r="129" spans="1:8" ht="31.5">
      <c r="A129" s="133" t="s">
        <v>477</v>
      </c>
      <c r="B129" s="14" t="s">
        <v>634</v>
      </c>
      <c r="C129" s="179"/>
      <c r="D129" s="179"/>
      <c r="E129" s="155"/>
      <c r="F129" s="279">
        <f>F130</f>
        <v>2265.1</v>
      </c>
      <c r="G129" s="279">
        <f>G130</f>
        <v>2265.1</v>
      </c>
      <c r="H129" s="279">
        <f>H130</f>
        <v>2265.1</v>
      </c>
    </row>
    <row r="130" spans="1:8" ht="15.75">
      <c r="A130" s="14" t="s">
        <v>301</v>
      </c>
      <c r="B130" s="14" t="s">
        <v>634</v>
      </c>
      <c r="C130" s="179" t="s">
        <v>596</v>
      </c>
      <c r="D130" s="179" t="s">
        <v>93</v>
      </c>
      <c r="E130" s="155">
        <v>610</v>
      </c>
      <c r="F130" s="279">
        <f>'приложение 5'!Q863</f>
        <v>2265.1</v>
      </c>
      <c r="G130" s="279">
        <f>'приложение 5'!R863</f>
        <v>2265.1</v>
      </c>
      <c r="H130" s="279">
        <f>'приложение 5'!S863</f>
        <v>2265.1</v>
      </c>
    </row>
    <row r="131" spans="1:8" ht="15.75" hidden="1">
      <c r="A131" s="2" t="s">
        <v>1064</v>
      </c>
      <c r="B131" s="14" t="s">
        <v>1066</v>
      </c>
      <c r="C131" s="179"/>
      <c r="D131" s="179"/>
      <c r="E131" s="155"/>
      <c r="F131" s="279">
        <f>F132</f>
        <v>0</v>
      </c>
      <c r="G131" s="279">
        <f>G132</f>
        <v>0</v>
      </c>
      <c r="H131" s="279">
        <f>H132</f>
        <v>0</v>
      </c>
    </row>
    <row r="132" spans="1:8" ht="15.75" hidden="1">
      <c r="A132" s="2" t="s">
        <v>301</v>
      </c>
      <c r="B132" s="14" t="s">
        <v>1066</v>
      </c>
      <c r="C132" s="179" t="s">
        <v>596</v>
      </c>
      <c r="D132" s="179" t="s">
        <v>95</v>
      </c>
      <c r="E132" s="155">
        <v>612</v>
      </c>
      <c r="F132" s="279">
        <f>'приложение 5'!Q787</f>
        <v>0</v>
      </c>
      <c r="G132" s="279">
        <f>'приложение 5'!R787</f>
        <v>0</v>
      </c>
      <c r="H132" s="279">
        <f>'приложение 5'!S787</f>
        <v>0</v>
      </c>
    </row>
    <row r="133" spans="1:8" ht="15.75" hidden="1">
      <c r="A133" s="2" t="s">
        <v>1069</v>
      </c>
      <c r="B133" s="14" t="s">
        <v>1071</v>
      </c>
      <c r="C133" s="179"/>
      <c r="D133" s="179"/>
      <c r="E133" s="155"/>
      <c r="F133" s="279">
        <f>F134</f>
        <v>0</v>
      </c>
      <c r="G133" s="279">
        <f>G134</f>
        <v>0</v>
      </c>
      <c r="H133" s="279">
        <f>H134</f>
        <v>0</v>
      </c>
    </row>
    <row r="134" spans="1:8" ht="15.75" hidden="1">
      <c r="A134" s="2" t="s">
        <v>301</v>
      </c>
      <c r="B134" s="14" t="s">
        <v>1071</v>
      </c>
      <c r="C134" s="179" t="s">
        <v>596</v>
      </c>
      <c r="D134" s="179" t="s">
        <v>95</v>
      </c>
      <c r="E134" s="155">
        <v>612</v>
      </c>
      <c r="F134" s="279">
        <f>'приложение 5'!Q789</f>
        <v>0</v>
      </c>
      <c r="G134" s="279">
        <f>'приложение 5'!R789</f>
        <v>0</v>
      </c>
      <c r="H134" s="279">
        <f>'приложение 5'!S789</f>
        <v>0</v>
      </c>
    </row>
    <row r="135" spans="1:8" ht="31.5">
      <c r="A135" s="369" t="s">
        <v>332</v>
      </c>
      <c r="B135" s="178" t="s">
        <v>310</v>
      </c>
      <c r="C135" s="182"/>
      <c r="D135" s="182"/>
      <c r="E135" s="155"/>
      <c r="F135" s="279">
        <f>F136+F141+F143+F139</f>
        <v>11635.599999999999</v>
      </c>
      <c r="G135" s="279">
        <f>G136+G141+G143+G139</f>
        <v>14921.5</v>
      </c>
      <c r="H135" s="279">
        <f>H136+H141+H143+H139</f>
        <v>15431.7</v>
      </c>
    </row>
    <row r="136" spans="1:8" ht="31.5">
      <c r="A136" s="369" t="s">
        <v>60</v>
      </c>
      <c r="B136" s="178" t="s">
        <v>637</v>
      </c>
      <c r="C136" s="182"/>
      <c r="D136" s="182"/>
      <c r="E136" s="155"/>
      <c r="F136" s="279">
        <f>F138+F137</f>
        <v>1145.0000000000005</v>
      </c>
      <c r="G136" s="279">
        <f>G138+G137</f>
        <v>4446</v>
      </c>
      <c r="H136" s="279">
        <f>H138+H137</f>
        <v>4436</v>
      </c>
    </row>
    <row r="137" spans="1:8" ht="47.25">
      <c r="A137" s="369" t="s">
        <v>299</v>
      </c>
      <c r="B137" s="178" t="s">
        <v>637</v>
      </c>
      <c r="C137" s="179" t="s">
        <v>596</v>
      </c>
      <c r="D137" s="182" t="s">
        <v>93</v>
      </c>
      <c r="E137" s="155">
        <v>240</v>
      </c>
      <c r="F137" s="279">
        <f>'приложение 5'!Q866</f>
        <v>256.6</v>
      </c>
      <c r="G137" s="279">
        <f>'приложение 5'!R866</f>
        <v>300</v>
      </c>
      <c r="H137" s="279">
        <f>'приложение 5'!S866</f>
        <v>290</v>
      </c>
    </row>
    <row r="138" spans="1:8" ht="63">
      <c r="A138" s="366" t="s">
        <v>449</v>
      </c>
      <c r="B138" s="178" t="s">
        <v>637</v>
      </c>
      <c r="C138" s="179" t="s">
        <v>596</v>
      </c>
      <c r="D138" s="182" t="s">
        <v>93</v>
      </c>
      <c r="E138" s="155">
        <v>630</v>
      </c>
      <c r="F138" s="279">
        <f>'приложение 5'!Q867</f>
        <v>888.4000000000005</v>
      </c>
      <c r="G138" s="279">
        <f>'приложение 5'!R867</f>
        <v>4146</v>
      </c>
      <c r="H138" s="279">
        <f>'приложение 5'!S867</f>
        <v>4146</v>
      </c>
    </row>
    <row r="139" spans="1:8" ht="31.5">
      <c r="A139" s="2" t="s">
        <v>56</v>
      </c>
      <c r="B139" s="178" t="s">
        <v>915</v>
      </c>
      <c r="C139" s="179"/>
      <c r="D139" s="182"/>
      <c r="E139" s="155"/>
      <c r="F139" s="279">
        <f>F140</f>
        <v>43.400000000000006</v>
      </c>
      <c r="G139" s="279">
        <f>G140</f>
        <v>0</v>
      </c>
      <c r="H139" s="279">
        <f>H140</f>
        <v>0</v>
      </c>
    </row>
    <row r="140" spans="1:8" ht="15.75">
      <c r="A140" s="20" t="s">
        <v>301</v>
      </c>
      <c r="B140" s="178" t="s">
        <v>915</v>
      </c>
      <c r="C140" s="179" t="s">
        <v>596</v>
      </c>
      <c r="D140" s="179" t="s">
        <v>95</v>
      </c>
      <c r="E140" s="155">
        <v>610</v>
      </c>
      <c r="F140" s="279">
        <f>'приложение 5'!Q792</f>
        <v>43.400000000000006</v>
      </c>
      <c r="G140" s="279">
        <f>'приложение 5'!R792</f>
        <v>0</v>
      </c>
      <c r="H140" s="279">
        <f>'приложение 5'!S792</f>
        <v>0</v>
      </c>
    </row>
    <row r="141" spans="1:8" ht="15.75">
      <c r="A141" s="369" t="s">
        <v>57</v>
      </c>
      <c r="B141" s="178" t="s">
        <v>638</v>
      </c>
      <c r="C141" s="182"/>
      <c r="D141" s="182"/>
      <c r="E141" s="155"/>
      <c r="F141" s="279">
        <f>F142</f>
        <v>6459.799999999999</v>
      </c>
      <c r="G141" s="279">
        <f>G142</f>
        <v>6106.2</v>
      </c>
      <c r="H141" s="279">
        <f>H142</f>
        <v>6168.4</v>
      </c>
    </row>
    <row r="142" spans="1:8" ht="15.75">
      <c r="A142" s="369" t="s">
        <v>301</v>
      </c>
      <c r="B142" s="178" t="s">
        <v>638</v>
      </c>
      <c r="C142" s="179" t="s">
        <v>596</v>
      </c>
      <c r="D142" s="182" t="s">
        <v>96</v>
      </c>
      <c r="E142" s="155">
        <v>610</v>
      </c>
      <c r="F142" s="279">
        <f>'приложение 5'!Q821</f>
        <v>6459.799999999999</v>
      </c>
      <c r="G142" s="279">
        <f>'приложение 5'!R821</f>
        <v>6106.2</v>
      </c>
      <c r="H142" s="279">
        <f>'приложение 5'!S821</f>
        <v>6168.4</v>
      </c>
    </row>
    <row r="143" spans="1:8" ht="63">
      <c r="A143" s="2" t="s">
        <v>374</v>
      </c>
      <c r="B143" s="178" t="s">
        <v>639</v>
      </c>
      <c r="C143" s="182"/>
      <c r="D143" s="182"/>
      <c r="E143" s="155"/>
      <c r="F143" s="279">
        <f>F144</f>
        <v>3987.4</v>
      </c>
      <c r="G143" s="279">
        <f>G144</f>
        <v>4369.3</v>
      </c>
      <c r="H143" s="279">
        <f>H144</f>
        <v>4827.3</v>
      </c>
    </row>
    <row r="144" spans="1:8" ht="15.75">
      <c r="A144" s="2" t="s">
        <v>301</v>
      </c>
      <c r="B144" s="178" t="s">
        <v>639</v>
      </c>
      <c r="C144" s="179" t="s">
        <v>596</v>
      </c>
      <c r="D144" s="179" t="s">
        <v>96</v>
      </c>
      <c r="E144" s="155">
        <v>610</v>
      </c>
      <c r="F144" s="279">
        <f>'приложение 5'!Q823</f>
        <v>3987.4</v>
      </c>
      <c r="G144" s="279">
        <f>'приложение 5'!R823</f>
        <v>4369.3</v>
      </c>
      <c r="H144" s="279">
        <f>'приложение 5'!S823</f>
        <v>4827.3</v>
      </c>
    </row>
    <row r="145" spans="1:8" ht="31.5">
      <c r="A145" s="366" t="s">
        <v>584</v>
      </c>
      <c r="B145" s="178" t="s">
        <v>311</v>
      </c>
      <c r="C145" s="182"/>
      <c r="D145" s="182"/>
      <c r="E145" s="155"/>
      <c r="F145" s="279">
        <f>F146+F148</f>
        <v>60</v>
      </c>
      <c r="G145" s="279">
        <f>G146+G148</f>
        <v>60</v>
      </c>
      <c r="H145" s="279">
        <f>H146+H148</f>
        <v>60</v>
      </c>
    </row>
    <row r="146" spans="1:8" ht="31.5">
      <c r="A146" s="369" t="s">
        <v>60</v>
      </c>
      <c r="B146" s="178" t="s">
        <v>640</v>
      </c>
      <c r="C146" s="182"/>
      <c r="D146" s="182"/>
      <c r="E146" s="155"/>
      <c r="F146" s="279">
        <f>F147</f>
        <v>52.4</v>
      </c>
      <c r="G146" s="279">
        <f>G147</f>
        <v>60</v>
      </c>
      <c r="H146" s="279">
        <f>H147</f>
        <v>60</v>
      </c>
    </row>
    <row r="147" spans="1:8" ht="47.25">
      <c r="A147" s="369" t="s">
        <v>299</v>
      </c>
      <c r="B147" s="178" t="s">
        <v>640</v>
      </c>
      <c r="C147" s="179" t="s">
        <v>596</v>
      </c>
      <c r="D147" s="182" t="s">
        <v>93</v>
      </c>
      <c r="E147" s="155">
        <v>240</v>
      </c>
      <c r="F147" s="279">
        <f>'приложение 5'!Q870</f>
        <v>52.4</v>
      </c>
      <c r="G147" s="279">
        <f>'приложение 5'!R870</f>
        <v>60</v>
      </c>
      <c r="H147" s="279">
        <f>'приложение 5'!S870</f>
        <v>60</v>
      </c>
    </row>
    <row r="148" spans="1:8" ht="31.5">
      <c r="A148" s="2" t="s">
        <v>56</v>
      </c>
      <c r="B148" s="178" t="s">
        <v>1038</v>
      </c>
      <c r="C148" s="179"/>
      <c r="D148" s="182"/>
      <c r="E148" s="155"/>
      <c r="F148" s="279">
        <f>F149</f>
        <v>7.6</v>
      </c>
      <c r="G148" s="279">
        <f>G149</f>
        <v>0</v>
      </c>
      <c r="H148" s="279">
        <f>H149</f>
        <v>0</v>
      </c>
    </row>
    <row r="149" spans="1:8" ht="15.75">
      <c r="A149" s="2" t="s">
        <v>301</v>
      </c>
      <c r="B149" s="178" t="s">
        <v>1038</v>
      </c>
      <c r="C149" s="179" t="s">
        <v>596</v>
      </c>
      <c r="D149" s="179" t="s">
        <v>95</v>
      </c>
      <c r="E149" s="155">
        <v>610</v>
      </c>
      <c r="F149" s="279">
        <f>'приложение 5'!Q795</f>
        <v>7.6</v>
      </c>
      <c r="G149" s="279">
        <f>'приложение 5'!R795</f>
        <v>0</v>
      </c>
      <c r="H149" s="279">
        <f>'приложение 5'!S795</f>
        <v>0</v>
      </c>
    </row>
    <row r="150" spans="1:8" ht="31.5">
      <c r="A150" s="20" t="s">
        <v>839</v>
      </c>
      <c r="B150" s="178" t="s">
        <v>319</v>
      </c>
      <c r="C150" s="179"/>
      <c r="D150" s="182"/>
      <c r="E150" s="155"/>
      <c r="F150" s="279">
        <f>F153+F171+F152+F157+F160+F173+F175+F155+F165+F167+F169</f>
        <v>41555.899999999994</v>
      </c>
      <c r="G150" s="279">
        <f>G153+G171+G152+G157+G160+G173+G175+G155+G165+G167+G169</f>
        <v>3743.8</v>
      </c>
      <c r="H150" s="279">
        <f>H153+H171+H152+H157+H160+H173+H175+H155+H165+H167+H169</f>
        <v>34246</v>
      </c>
    </row>
    <row r="151" spans="1:8" ht="31.5" hidden="1">
      <c r="A151" s="134" t="s">
        <v>60</v>
      </c>
      <c r="B151" s="178" t="s">
        <v>909</v>
      </c>
      <c r="C151" s="179"/>
      <c r="D151" s="182"/>
      <c r="E151" s="155"/>
      <c r="F151" s="279">
        <f>F152</f>
        <v>0</v>
      </c>
      <c r="G151" s="279">
        <f>G152</f>
        <v>0</v>
      </c>
      <c r="H151" s="279">
        <f>H152</f>
        <v>0</v>
      </c>
    </row>
    <row r="152" spans="1:8" ht="47.25" hidden="1">
      <c r="A152" s="2" t="s">
        <v>299</v>
      </c>
      <c r="B152" s="178" t="s">
        <v>909</v>
      </c>
      <c r="C152" s="179" t="s">
        <v>596</v>
      </c>
      <c r="D152" s="179" t="s">
        <v>93</v>
      </c>
      <c r="E152" s="155">
        <v>240</v>
      </c>
      <c r="F152" s="279">
        <f>'приложение 5'!Q873</f>
        <v>0</v>
      </c>
      <c r="G152" s="279">
        <f>'приложение 5'!R873</f>
        <v>0</v>
      </c>
      <c r="H152" s="279">
        <f>'приложение 5'!S873</f>
        <v>0</v>
      </c>
    </row>
    <row r="153" spans="1:8" ht="15.75">
      <c r="A153" s="20" t="s">
        <v>53</v>
      </c>
      <c r="B153" s="178" t="s">
        <v>840</v>
      </c>
      <c r="C153" s="179"/>
      <c r="D153" s="182"/>
      <c r="E153" s="155"/>
      <c r="F153" s="279">
        <f>F154</f>
        <v>3287.7</v>
      </c>
      <c r="G153" s="279">
        <f>G154</f>
        <v>0</v>
      </c>
      <c r="H153" s="279">
        <f>H154</f>
        <v>0</v>
      </c>
    </row>
    <row r="154" spans="1:8" ht="15.75">
      <c r="A154" s="2" t="s">
        <v>301</v>
      </c>
      <c r="B154" s="178" t="s">
        <v>840</v>
      </c>
      <c r="C154" s="179" t="s">
        <v>596</v>
      </c>
      <c r="D154" s="179" t="s">
        <v>92</v>
      </c>
      <c r="E154" s="155">
        <v>610</v>
      </c>
      <c r="F154" s="279">
        <f>'приложение 5'!Q759</f>
        <v>3287.7</v>
      </c>
      <c r="G154" s="279">
        <f>'приложение 5'!R759</f>
        <v>0</v>
      </c>
      <c r="H154" s="279">
        <f>'приложение 5'!S759</f>
        <v>0</v>
      </c>
    </row>
    <row r="155" spans="1:8" ht="15.75">
      <c r="A155" s="2" t="s">
        <v>57</v>
      </c>
      <c r="B155" s="178" t="s">
        <v>1082</v>
      </c>
      <c r="C155" s="179"/>
      <c r="D155" s="179"/>
      <c r="E155" s="155"/>
      <c r="F155" s="279">
        <f>F156</f>
        <v>1000</v>
      </c>
      <c r="G155" s="279">
        <f>G156</f>
        <v>0</v>
      </c>
      <c r="H155" s="279">
        <f>H156</f>
        <v>0</v>
      </c>
    </row>
    <row r="156" spans="1:8" ht="15.75">
      <c r="A156" s="2" t="s">
        <v>301</v>
      </c>
      <c r="B156" s="178" t="s">
        <v>1082</v>
      </c>
      <c r="C156" s="179" t="s">
        <v>596</v>
      </c>
      <c r="D156" s="179" t="s">
        <v>96</v>
      </c>
      <c r="E156" s="155">
        <v>610</v>
      </c>
      <c r="F156" s="279">
        <f>'приложение 5'!Q826</f>
        <v>1000</v>
      </c>
      <c r="G156" s="279">
        <f>'приложение 5'!R826</f>
        <v>0</v>
      </c>
      <c r="H156" s="279">
        <f>'приложение 5'!S826</f>
        <v>0</v>
      </c>
    </row>
    <row r="157" spans="1:12" ht="94.5">
      <c r="A157" s="20" t="s">
        <v>983</v>
      </c>
      <c r="B157" s="178" t="s">
        <v>984</v>
      </c>
      <c r="C157" s="179"/>
      <c r="D157" s="179"/>
      <c r="E157" s="155"/>
      <c r="F157" s="279">
        <f>F158+F159</f>
        <v>420</v>
      </c>
      <c r="G157" s="279">
        <f>G158+G159</f>
        <v>0</v>
      </c>
      <c r="H157" s="279">
        <f>H158+H159</f>
        <v>0</v>
      </c>
      <c r="L157" s="183" t="s">
        <v>262</v>
      </c>
    </row>
    <row r="158" spans="1:8" ht="15.75">
      <c r="A158" s="20" t="s">
        <v>301</v>
      </c>
      <c r="B158" s="178" t="s">
        <v>984</v>
      </c>
      <c r="C158" s="179" t="s">
        <v>596</v>
      </c>
      <c r="D158" s="179" t="s">
        <v>92</v>
      </c>
      <c r="E158" s="155">
        <v>610</v>
      </c>
      <c r="F158" s="279">
        <f>'приложение 5'!Q752</f>
        <v>120</v>
      </c>
      <c r="G158" s="279">
        <f>'приложение 5'!R752</f>
        <v>0</v>
      </c>
      <c r="H158" s="279">
        <f>'приложение 5'!S752</f>
        <v>0</v>
      </c>
    </row>
    <row r="159" spans="1:8" ht="15.75">
      <c r="A159" s="20" t="s">
        <v>301</v>
      </c>
      <c r="B159" s="178" t="s">
        <v>984</v>
      </c>
      <c r="C159" s="179" t="s">
        <v>596</v>
      </c>
      <c r="D159" s="179" t="s">
        <v>95</v>
      </c>
      <c r="E159" s="155">
        <v>610</v>
      </c>
      <c r="F159" s="279">
        <f>'приложение 5'!Q800</f>
        <v>300</v>
      </c>
      <c r="G159" s="279">
        <f>'приложение 5'!R800</f>
        <v>0</v>
      </c>
      <c r="H159" s="279">
        <f>'приложение 5'!S800</f>
        <v>0</v>
      </c>
    </row>
    <row r="160" spans="1:8" ht="63">
      <c r="A160" s="20" t="s">
        <v>986</v>
      </c>
      <c r="B160" s="178" t="s">
        <v>987</v>
      </c>
      <c r="C160" s="179"/>
      <c r="D160" s="179"/>
      <c r="E160" s="155"/>
      <c r="F160" s="279">
        <f>F161+F162+F163+F164</f>
        <v>23934.800000000003</v>
      </c>
      <c r="G160" s="279">
        <f>G161+G162+G163+G164</f>
        <v>0</v>
      </c>
      <c r="H160" s="279">
        <f>H161+H162+H163+H164</f>
        <v>0</v>
      </c>
    </row>
    <row r="161" spans="1:8" ht="15.75">
      <c r="A161" s="20" t="s">
        <v>301</v>
      </c>
      <c r="B161" s="178" t="s">
        <v>987</v>
      </c>
      <c r="C161" s="179" t="s">
        <v>596</v>
      </c>
      <c r="D161" s="179" t="s">
        <v>92</v>
      </c>
      <c r="E161" s="155">
        <v>610</v>
      </c>
      <c r="F161" s="279">
        <f>'приложение 5'!Q754</f>
        <v>16233.9</v>
      </c>
      <c r="G161" s="279">
        <f>'приложение 5'!R754</f>
        <v>0</v>
      </c>
      <c r="H161" s="279">
        <f>'приложение 5'!S754</f>
        <v>0</v>
      </c>
    </row>
    <row r="162" spans="1:8" ht="47.25">
      <c r="A162" s="2" t="s">
        <v>299</v>
      </c>
      <c r="B162" s="178" t="s">
        <v>987</v>
      </c>
      <c r="C162" s="179" t="s">
        <v>596</v>
      </c>
      <c r="D162" s="179" t="s">
        <v>92</v>
      </c>
      <c r="E162" s="155">
        <v>240</v>
      </c>
      <c r="F162" s="279">
        <f>'приложение 5'!Q755</f>
        <v>0</v>
      </c>
      <c r="G162" s="279">
        <f>'приложение 5'!R755</f>
        <v>0</v>
      </c>
      <c r="H162" s="279">
        <f>'приложение 5'!S755</f>
        <v>0</v>
      </c>
    </row>
    <row r="163" spans="1:8" ht="47.25">
      <c r="A163" s="2" t="s">
        <v>299</v>
      </c>
      <c r="B163" s="178" t="s">
        <v>987</v>
      </c>
      <c r="C163" s="179" t="s">
        <v>596</v>
      </c>
      <c r="D163" s="179" t="s">
        <v>95</v>
      </c>
      <c r="E163" s="155">
        <v>240</v>
      </c>
      <c r="F163" s="279">
        <f>'приложение 5'!Q802</f>
        <v>6145</v>
      </c>
      <c r="G163" s="279">
        <f>'приложение 5'!R802</f>
        <v>0</v>
      </c>
      <c r="H163" s="279">
        <f>'приложение 5'!S802</f>
        <v>0</v>
      </c>
    </row>
    <row r="164" spans="1:8" ht="15.75">
      <c r="A164" s="2" t="s">
        <v>301</v>
      </c>
      <c r="B164" s="178" t="s">
        <v>987</v>
      </c>
      <c r="C164" s="179" t="s">
        <v>596</v>
      </c>
      <c r="D164" s="179" t="s">
        <v>95</v>
      </c>
      <c r="E164" s="155">
        <v>610</v>
      </c>
      <c r="F164" s="279">
        <f>'приложение 5'!Q807</f>
        <v>1555.9</v>
      </c>
      <c r="G164" s="279">
        <f>'приложение 5'!R807</f>
        <v>0</v>
      </c>
      <c r="H164" s="279">
        <f>'приложение 5'!S807</f>
        <v>0</v>
      </c>
    </row>
    <row r="165" spans="1:8" ht="31.5">
      <c r="A165" s="2" t="s">
        <v>1067</v>
      </c>
      <c r="B165" s="178" t="s">
        <v>1102</v>
      </c>
      <c r="C165" s="179"/>
      <c r="D165" s="179"/>
      <c r="E165" s="155"/>
      <c r="F165" s="279">
        <f>F166</f>
        <v>801.2</v>
      </c>
      <c r="G165" s="279">
        <f>G166</f>
        <v>0</v>
      </c>
      <c r="H165" s="279">
        <f>H166</f>
        <v>0</v>
      </c>
    </row>
    <row r="166" spans="1:8" ht="15.75">
      <c r="A166" s="2" t="s">
        <v>301</v>
      </c>
      <c r="B166" s="178" t="s">
        <v>1102</v>
      </c>
      <c r="C166" s="179" t="s">
        <v>596</v>
      </c>
      <c r="D166" s="179" t="s">
        <v>92</v>
      </c>
      <c r="E166" s="155">
        <v>610</v>
      </c>
      <c r="F166" s="279">
        <f>'приложение 5'!Q757</f>
        <v>801.2</v>
      </c>
      <c r="G166" s="279">
        <f>'приложение 5'!R757</f>
        <v>0</v>
      </c>
      <c r="H166" s="279">
        <f>'приложение 5'!S757</f>
        <v>0</v>
      </c>
    </row>
    <row r="167" spans="1:8" ht="15.75">
      <c r="A167" s="2" t="s">
        <v>1064</v>
      </c>
      <c r="B167" s="178" t="s">
        <v>1103</v>
      </c>
      <c r="C167" s="179"/>
      <c r="D167" s="179"/>
      <c r="E167" s="155"/>
      <c r="F167" s="279">
        <f>F168</f>
        <v>1000.2</v>
      </c>
      <c r="G167" s="279">
        <f>G168</f>
        <v>1000.2</v>
      </c>
      <c r="H167" s="279">
        <f>H168</f>
        <v>0</v>
      </c>
    </row>
    <row r="168" spans="1:8" ht="15.75">
      <c r="A168" s="2" t="s">
        <v>301</v>
      </c>
      <c r="B168" s="178" t="s">
        <v>1103</v>
      </c>
      <c r="C168" s="179" t="s">
        <v>596</v>
      </c>
      <c r="D168" s="179" t="s">
        <v>95</v>
      </c>
      <c r="E168" s="155">
        <v>610</v>
      </c>
      <c r="F168" s="279">
        <f>'приложение 5'!Q809</f>
        <v>1000.2</v>
      </c>
      <c r="G168" s="279">
        <f>'приложение 5'!R809</f>
        <v>1000.2</v>
      </c>
      <c r="H168" s="279">
        <f>'приложение 5'!S809</f>
        <v>0</v>
      </c>
    </row>
    <row r="169" spans="1:8" ht="15.75">
      <c r="A169" s="2" t="s">
        <v>1069</v>
      </c>
      <c r="B169" s="178" t="s">
        <v>1104</v>
      </c>
      <c r="C169" s="179"/>
      <c r="D169" s="179"/>
      <c r="E169" s="155"/>
      <c r="F169" s="279">
        <f>F170</f>
        <v>1831.6000000000001</v>
      </c>
      <c r="G169" s="279">
        <f>G170</f>
        <v>2743.6</v>
      </c>
      <c r="H169" s="279">
        <f>H170</f>
        <v>3967.4</v>
      </c>
    </row>
    <row r="170" spans="1:8" ht="15.75">
      <c r="A170" s="2" t="s">
        <v>301</v>
      </c>
      <c r="B170" s="178" t="s">
        <v>1104</v>
      </c>
      <c r="C170" s="179" t="s">
        <v>596</v>
      </c>
      <c r="D170" s="179" t="s">
        <v>93</v>
      </c>
      <c r="E170" s="155">
        <v>240</v>
      </c>
      <c r="F170" s="279">
        <f>'приложение 5'!Q875</f>
        <v>1831.6000000000001</v>
      </c>
      <c r="G170" s="279">
        <f>'приложение 5'!R875</f>
        <v>2743.6</v>
      </c>
      <c r="H170" s="279">
        <f>'приложение 5'!S875</f>
        <v>3967.4</v>
      </c>
    </row>
    <row r="171" spans="1:8" ht="31.5">
      <c r="A171" s="2" t="s">
        <v>56</v>
      </c>
      <c r="B171" s="178" t="s">
        <v>841</v>
      </c>
      <c r="C171" s="179"/>
      <c r="D171" s="182"/>
      <c r="E171" s="155"/>
      <c r="F171" s="279">
        <f>F172</f>
        <v>9280.4</v>
      </c>
      <c r="G171" s="279">
        <f>G172</f>
        <v>0</v>
      </c>
      <c r="H171" s="279">
        <f>H172</f>
        <v>0</v>
      </c>
    </row>
    <row r="172" spans="1:8" ht="15.75">
      <c r="A172" s="2" t="s">
        <v>301</v>
      </c>
      <c r="B172" s="178" t="s">
        <v>841</v>
      </c>
      <c r="C172" s="179" t="s">
        <v>596</v>
      </c>
      <c r="D172" s="179" t="s">
        <v>95</v>
      </c>
      <c r="E172" s="155">
        <v>610</v>
      </c>
      <c r="F172" s="279">
        <f>'приложение 5'!Q798</f>
        <v>9280.4</v>
      </c>
      <c r="G172" s="279">
        <f>'приложение 5'!R798</f>
        <v>0</v>
      </c>
      <c r="H172" s="279">
        <f>'приложение 5'!S798</f>
        <v>0</v>
      </c>
    </row>
    <row r="173" spans="1:8" ht="31.5">
      <c r="A173" s="301" t="s">
        <v>1022</v>
      </c>
      <c r="B173" s="178" t="s">
        <v>1024</v>
      </c>
      <c r="C173" s="179"/>
      <c r="D173" s="179"/>
      <c r="E173" s="155"/>
      <c r="F173" s="279">
        <f>F174</f>
        <v>0</v>
      </c>
      <c r="G173" s="279">
        <f>G174</f>
        <v>0</v>
      </c>
      <c r="H173" s="279">
        <f>H174</f>
        <v>17199.1</v>
      </c>
    </row>
    <row r="174" spans="1:8" ht="15.75">
      <c r="A174" s="20" t="s">
        <v>301</v>
      </c>
      <c r="B174" s="178" t="s">
        <v>1024</v>
      </c>
      <c r="C174" s="179" t="s">
        <v>596</v>
      </c>
      <c r="D174" s="179" t="s">
        <v>93</v>
      </c>
      <c r="E174" s="155">
        <v>240</v>
      </c>
      <c r="F174" s="279">
        <f>'приложение 5'!Q877</f>
        <v>0</v>
      </c>
      <c r="G174" s="279">
        <f>'приложение 5'!R877</f>
        <v>0</v>
      </c>
      <c r="H174" s="279">
        <f>'приложение 5'!S877</f>
        <v>17199.1</v>
      </c>
    </row>
    <row r="175" spans="1:8" ht="94.5">
      <c r="A175" s="301" t="s">
        <v>1023</v>
      </c>
      <c r="B175" s="178" t="s">
        <v>1025</v>
      </c>
      <c r="C175" s="179"/>
      <c r="D175" s="179"/>
      <c r="E175" s="155"/>
      <c r="F175" s="279">
        <f>F176</f>
        <v>0</v>
      </c>
      <c r="G175" s="279">
        <f>G176</f>
        <v>0</v>
      </c>
      <c r="H175" s="279">
        <f>H176</f>
        <v>13079.5</v>
      </c>
    </row>
    <row r="176" spans="1:8" ht="15.75">
      <c r="A176" s="20" t="s">
        <v>301</v>
      </c>
      <c r="B176" s="178" t="s">
        <v>1025</v>
      </c>
      <c r="C176" s="179" t="s">
        <v>596</v>
      </c>
      <c r="D176" s="179" t="s">
        <v>93</v>
      </c>
      <c r="E176" s="155">
        <v>240</v>
      </c>
      <c r="F176" s="279">
        <f>'приложение 5'!Q879</f>
        <v>0</v>
      </c>
      <c r="G176" s="279">
        <f>'приложение 5'!R879</f>
        <v>0</v>
      </c>
      <c r="H176" s="279">
        <f>'приложение 5'!S879</f>
        <v>13079.5</v>
      </c>
    </row>
    <row r="177" spans="1:8" ht="47.25">
      <c r="A177" s="369" t="s">
        <v>362</v>
      </c>
      <c r="B177" s="178" t="s">
        <v>642</v>
      </c>
      <c r="C177" s="182"/>
      <c r="D177" s="182"/>
      <c r="E177" s="155"/>
      <c r="F177" s="279">
        <f>F178+F182</f>
        <v>5012.6</v>
      </c>
      <c r="G177" s="279">
        <f>G178+G182</f>
        <v>5221.8</v>
      </c>
      <c r="H177" s="279">
        <f>H178+H182</f>
        <v>5049.9</v>
      </c>
    </row>
    <row r="178" spans="1:8" ht="31.5">
      <c r="A178" s="369" t="s">
        <v>60</v>
      </c>
      <c r="B178" s="178" t="s">
        <v>643</v>
      </c>
      <c r="C178" s="182"/>
      <c r="D178" s="182"/>
      <c r="E178" s="155"/>
      <c r="F178" s="279">
        <f>F179+F180+F181</f>
        <v>3178.9</v>
      </c>
      <c r="G178" s="279">
        <f>G179+G180+G181</f>
        <v>3388.1</v>
      </c>
      <c r="H178" s="279">
        <f>H179+H180+H181</f>
        <v>3216.2</v>
      </c>
    </row>
    <row r="179" spans="1:8" ht="31.5">
      <c r="A179" s="369" t="s">
        <v>204</v>
      </c>
      <c r="B179" s="178" t="s">
        <v>643</v>
      </c>
      <c r="C179" s="179" t="s">
        <v>596</v>
      </c>
      <c r="D179" s="182" t="s">
        <v>93</v>
      </c>
      <c r="E179" s="155">
        <v>120</v>
      </c>
      <c r="F179" s="279">
        <f>'приложение 5'!Q882</f>
        <v>2574</v>
      </c>
      <c r="G179" s="279">
        <f>'приложение 5'!R882</f>
        <v>2716.2</v>
      </c>
      <c r="H179" s="279">
        <f>'приложение 5'!S882</f>
        <v>2716.2</v>
      </c>
    </row>
    <row r="180" spans="1:8" ht="47.25">
      <c r="A180" s="369" t="s">
        <v>299</v>
      </c>
      <c r="B180" s="178" t="s">
        <v>643</v>
      </c>
      <c r="C180" s="179" t="s">
        <v>596</v>
      </c>
      <c r="D180" s="182" t="s">
        <v>93</v>
      </c>
      <c r="E180" s="155">
        <v>240</v>
      </c>
      <c r="F180" s="279">
        <f>'приложение 5'!Q883</f>
        <v>601.9</v>
      </c>
      <c r="G180" s="279">
        <f>'приложение 5'!R883</f>
        <v>671.9</v>
      </c>
      <c r="H180" s="279">
        <f>'приложение 5'!S883</f>
        <v>500</v>
      </c>
    </row>
    <row r="181" spans="1:8" ht="15.75">
      <c r="A181" s="2" t="s">
        <v>300</v>
      </c>
      <c r="B181" s="178" t="s">
        <v>643</v>
      </c>
      <c r="C181" s="179" t="s">
        <v>596</v>
      </c>
      <c r="D181" s="182" t="s">
        <v>93</v>
      </c>
      <c r="E181" s="155">
        <v>850</v>
      </c>
      <c r="F181" s="279">
        <f>'приложение 5'!Q884</f>
        <v>3</v>
      </c>
      <c r="G181" s="279">
        <f>'приложение 5'!R884</f>
        <v>0</v>
      </c>
      <c r="H181" s="279">
        <f>'приложение 5'!S884</f>
        <v>0</v>
      </c>
    </row>
    <row r="182" spans="1:8" ht="63">
      <c r="A182" s="136" t="s">
        <v>374</v>
      </c>
      <c r="B182" s="178" t="s">
        <v>644</v>
      </c>
      <c r="C182" s="182"/>
      <c r="D182" s="182"/>
      <c r="E182" s="155"/>
      <c r="F182" s="279">
        <f>F183</f>
        <v>1833.7</v>
      </c>
      <c r="G182" s="279">
        <f>G183</f>
        <v>1833.7</v>
      </c>
      <c r="H182" s="279">
        <f>H183</f>
        <v>1833.7</v>
      </c>
    </row>
    <row r="183" spans="1:8" ht="31.5">
      <c r="A183" s="16" t="s">
        <v>204</v>
      </c>
      <c r="B183" s="178" t="s">
        <v>644</v>
      </c>
      <c r="C183" s="179" t="s">
        <v>596</v>
      </c>
      <c r="D183" s="179" t="s">
        <v>93</v>
      </c>
      <c r="E183" s="155">
        <v>120</v>
      </c>
      <c r="F183" s="279">
        <f>'приложение 5'!Q886</f>
        <v>1833.7</v>
      </c>
      <c r="G183" s="279">
        <f>'приложение 5'!R886</f>
        <v>1833.7</v>
      </c>
      <c r="H183" s="279">
        <f>'приложение 5'!S886</f>
        <v>1833.7</v>
      </c>
    </row>
    <row r="184" spans="1:8" ht="31.5">
      <c r="A184" s="366" t="s">
        <v>404</v>
      </c>
      <c r="B184" s="178" t="s">
        <v>635</v>
      </c>
      <c r="C184" s="182"/>
      <c r="D184" s="182"/>
      <c r="E184" s="155"/>
      <c r="F184" s="279">
        <f aca="true" t="shared" si="3" ref="F184:H185">F185</f>
        <v>6641.7</v>
      </c>
      <c r="G184" s="279">
        <f t="shared" si="3"/>
        <v>0</v>
      </c>
      <c r="H184" s="279">
        <f t="shared" si="3"/>
        <v>0</v>
      </c>
    </row>
    <row r="185" spans="1:8" ht="94.5">
      <c r="A185" s="366" t="s">
        <v>896</v>
      </c>
      <c r="B185" s="178" t="s">
        <v>824</v>
      </c>
      <c r="C185" s="182"/>
      <c r="D185" s="182"/>
      <c r="E185" s="155"/>
      <c r="F185" s="279">
        <f t="shared" si="3"/>
        <v>6641.7</v>
      </c>
      <c r="G185" s="279">
        <f t="shared" si="3"/>
        <v>0</v>
      </c>
      <c r="H185" s="279">
        <f t="shared" si="3"/>
        <v>0</v>
      </c>
    </row>
    <row r="186" spans="1:8" ht="47.25">
      <c r="A186" s="369" t="s">
        <v>299</v>
      </c>
      <c r="B186" s="178" t="s">
        <v>824</v>
      </c>
      <c r="C186" s="179" t="s">
        <v>596</v>
      </c>
      <c r="D186" s="179" t="s">
        <v>93</v>
      </c>
      <c r="E186" s="155">
        <v>240</v>
      </c>
      <c r="F186" s="279">
        <f>'приложение 5'!Q889</f>
        <v>6641.7</v>
      </c>
      <c r="G186" s="279">
        <f>'приложение 5'!R889</f>
        <v>0</v>
      </c>
      <c r="H186" s="279">
        <f>'приложение 5'!S889</f>
        <v>0</v>
      </c>
    </row>
    <row r="187" spans="1:8" ht="31.5">
      <c r="A187" s="366" t="s">
        <v>317</v>
      </c>
      <c r="B187" s="178" t="s">
        <v>636</v>
      </c>
      <c r="C187" s="182"/>
      <c r="D187" s="179"/>
      <c r="E187" s="155"/>
      <c r="F187" s="279">
        <f aca="true" t="shared" si="4" ref="F187:H188">F188</f>
        <v>3633.8</v>
      </c>
      <c r="G187" s="279">
        <f t="shared" si="4"/>
        <v>0</v>
      </c>
      <c r="H187" s="279">
        <f t="shared" si="4"/>
        <v>0</v>
      </c>
    </row>
    <row r="188" spans="1:8" ht="63">
      <c r="A188" s="369" t="s">
        <v>845</v>
      </c>
      <c r="B188" s="178" t="s">
        <v>846</v>
      </c>
      <c r="C188" s="182"/>
      <c r="D188" s="179"/>
      <c r="E188" s="155"/>
      <c r="F188" s="279">
        <f t="shared" si="4"/>
        <v>3633.8</v>
      </c>
      <c r="G188" s="279">
        <f t="shared" si="4"/>
        <v>0</v>
      </c>
      <c r="H188" s="279">
        <f t="shared" si="4"/>
        <v>0</v>
      </c>
    </row>
    <row r="189" spans="1:8" ht="47.25">
      <c r="A189" s="369" t="s">
        <v>299</v>
      </c>
      <c r="B189" s="178" t="s">
        <v>846</v>
      </c>
      <c r="C189" s="179" t="s">
        <v>596</v>
      </c>
      <c r="D189" s="179" t="s">
        <v>93</v>
      </c>
      <c r="E189" s="155">
        <v>240</v>
      </c>
      <c r="F189" s="279">
        <f>'приложение 5'!Q892</f>
        <v>3633.8</v>
      </c>
      <c r="G189" s="279">
        <f>'приложение 5'!R892</f>
        <v>0</v>
      </c>
      <c r="H189" s="279">
        <f>'приложение 5'!S892</f>
        <v>0</v>
      </c>
    </row>
    <row r="190" spans="1:8" ht="47.25">
      <c r="A190" s="371" t="s">
        <v>833</v>
      </c>
      <c r="B190" s="178" t="s">
        <v>837</v>
      </c>
      <c r="C190" s="179"/>
      <c r="D190" s="179"/>
      <c r="E190" s="155"/>
      <c r="F190" s="279">
        <f aca="true" t="shared" si="5" ref="F190:H191">F191</f>
        <v>782.8</v>
      </c>
      <c r="G190" s="279">
        <f t="shared" si="5"/>
        <v>782.8</v>
      </c>
      <c r="H190" s="279">
        <f t="shared" si="5"/>
        <v>943.5</v>
      </c>
    </row>
    <row r="191" spans="1:8" ht="63">
      <c r="A191" s="372" t="s">
        <v>836</v>
      </c>
      <c r="B191" s="178" t="s">
        <v>838</v>
      </c>
      <c r="C191" s="179"/>
      <c r="D191" s="179"/>
      <c r="E191" s="155"/>
      <c r="F191" s="279">
        <f t="shared" si="5"/>
        <v>782.8</v>
      </c>
      <c r="G191" s="279">
        <f t="shared" si="5"/>
        <v>782.8</v>
      </c>
      <c r="H191" s="279">
        <f t="shared" si="5"/>
        <v>943.5</v>
      </c>
    </row>
    <row r="192" spans="1:8" ht="15.75">
      <c r="A192" s="2" t="s">
        <v>301</v>
      </c>
      <c r="B192" s="178" t="s">
        <v>838</v>
      </c>
      <c r="C192" s="179" t="s">
        <v>596</v>
      </c>
      <c r="D192" s="179" t="s">
        <v>95</v>
      </c>
      <c r="E192" s="155">
        <v>610</v>
      </c>
      <c r="F192" s="279">
        <f>'приложение 5'!Q812</f>
        <v>782.8</v>
      </c>
      <c r="G192" s="279">
        <f>'приложение 5'!R812</f>
        <v>782.8</v>
      </c>
      <c r="H192" s="279">
        <f>'приложение 5'!S812</f>
        <v>943.5</v>
      </c>
    </row>
    <row r="193" spans="1:8" s="205" customFormat="1" ht="47.25">
      <c r="A193" s="29" t="s">
        <v>537</v>
      </c>
      <c r="B193" s="197" t="s">
        <v>646</v>
      </c>
      <c r="C193" s="204"/>
      <c r="D193" s="204"/>
      <c r="E193" s="197"/>
      <c r="F193" s="291">
        <f>F194+F209+F200+F203+F206+F214</f>
        <v>9451.5</v>
      </c>
      <c r="G193" s="291">
        <f>G194+G209+G200+G203+G206+G214</f>
        <v>8725.2</v>
      </c>
      <c r="H193" s="291">
        <f>H194+H209+H200+H203+H206+H214</f>
        <v>9253.099999999999</v>
      </c>
    </row>
    <row r="194" spans="1:8" ht="63">
      <c r="A194" s="70" t="s">
        <v>538</v>
      </c>
      <c r="B194" s="178" t="s">
        <v>1004</v>
      </c>
      <c r="C194" s="182"/>
      <c r="D194" s="179"/>
      <c r="E194" s="155"/>
      <c r="F194" s="279">
        <f>F195+F198</f>
        <v>1552.6</v>
      </c>
      <c r="G194" s="279">
        <f>G195+G198</f>
        <v>200</v>
      </c>
      <c r="H194" s="279">
        <f>H195+H198</f>
        <v>200</v>
      </c>
    </row>
    <row r="195" spans="1:8" ht="15.75">
      <c r="A195" s="70" t="s">
        <v>8</v>
      </c>
      <c r="B195" s="178" t="s">
        <v>647</v>
      </c>
      <c r="C195" s="182"/>
      <c r="D195" s="179"/>
      <c r="E195" s="155"/>
      <c r="F195" s="279">
        <f>F197+F196</f>
        <v>500</v>
      </c>
      <c r="G195" s="279">
        <f>G197+G196</f>
        <v>200</v>
      </c>
      <c r="H195" s="279">
        <f>H197+H196</f>
        <v>200</v>
      </c>
    </row>
    <row r="196" spans="1:8" ht="47.25">
      <c r="A196" s="2" t="s">
        <v>299</v>
      </c>
      <c r="B196" s="178" t="s">
        <v>647</v>
      </c>
      <c r="C196" s="179" t="s">
        <v>735</v>
      </c>
      <c r="D196" s="179" t="s">
        <v>97</v>
      </c>
      <c r="E196" s="155">
        <v>240</v>
      </c>
      <c r="F196" s="279">
        <f>'приложение 5'!Q554</f>
        <v>180</v>
      </c>
      <c r="G196" s="279">
        <f>'приложение 5'!R554</f>
        <v>0</v>
      </c>
      <c r="H196" s="279">
        <f>'приложение 5'!S554</f>
        <v>0</v>
      </c>
    </row>
    <row r="197" spans="1:8" ht="15.75">
      <c r="A197" s="70" t="s">
        <v>301</v>
      </c>
      <c r="B197" s="178" t="s">
        <v>647</v>
      </c>
      <c r="C197" s="179" t="s">
        <v>616</v>
      </c>
      <c r="D197" s="179" t="s">
        <v>97</v>
      </c>
      <c r="E197" s="155">
        <v>610</v>
      </c>
      <c r="F197" s="279">
        <f>'приложение 5'!Q191</f>
        <v>320</v>
      </c>
      <c r="G197" s="279">
        <f>'приложение 5'!R191</f>
        <v>200</v>
      </c>
      <c r="H197" s="279">
        <f>'приложение 5'!S191</f>
        <v>200</v>
      </c>
    </row>
    <row r="198" spans="1:8" ht="47.25">
      <c r="A198" s="2" t="s">
        <v>553</v>
      </c>
      <c r="B198" s="178" t="s">
        <v>1049</v>
      </c>
      <c r="C198" s="179"/>
      <c r="D198" s="179"/>
      <c r="E198" s="155"/>
      <c r="F198" s="279">
        <f>F199</f>
        <v>1052.6</v>
      </c>
      <c r="G198" s="279">
        <f>G199</f>
        <v>0</v>
      </c>
      <c r="H198" s="279">
        <f>H199</f>
        <v>0</v>
      </c>
    </row>
    <row r="199" spans="1:8" ht="15.75">
      <c r="A199" s="2" t="s">
        <v>301</v>
      </c>
      <c r="B199" s="178" t="s">
        <v>1049</v>
      </c>
      <c r="C199" s="179" t="s">
        <v>616</v>
      </c>
      <c r="D199" s="179" t="s">
        <v>97</v>
      </c>
      <c r="E199" s="155">
        <v>610</v>
      </c>
      <c r="F199" s="279">
        <f>'приложение 5'!Q193</f>
        <v>1052.6</v>
      </c>
      <c r="G199" s="279">
        <f>'приложение 5'!R193</f>
        <v>0</v>
      </c>
      <c r="H199" s="279">
        <f>'приложение 5'!S193</f>
        <v>0</v>
      </c>
    </row>
    <row r="200" spans="1:8" ht="31.5">
      <c r="A200" s="70" t="s">
        <v>413</v>
      </c>
      <c r="B200" s="178" t="s">
        <v>648</v>
      </c>
      <c r="C200" s="182"/>
      <c r="D200" s="179"/>
      <c r="E200" s="155"/>
      <c r="F200" s="279">
        <f aca="true" t="shared" si="6" ref="F200:H201">F201</f>
        <v>89.5</v>
      </c>
      <c r="G200" s="279">
        <f t="shared" si="6"/>
        <v>0</v>
      </c>
      <c r="H200" s="279">
        <f t="shared" si="6"/>
        <v>0</v>
      </c>
    </row>
    <row r="201" spans="1:8" ht="15.75">
      <c r="A201" s="70" t="s">
        <v>8</v>
      </c>
      <c r="B201" s="178" t="s">
        <v>649</v>
      </c>
      <c r="C201" s="182"/>
      <c r="D201" s="179"/>
      <c r="E201" s="155"/>
      <c r="F201" s="279">
        <f t="shared" si="6"/>
        <v>89.5</v>
      </c>
      <c r="G201" s="279">
        <f t="shared" si="6"/>
        <v>0</v>
      </c>
      <c r="H201" s="279">
        <f t="shared" si="6"/>
        <v>0</v>
      </c>
    </row>
    <row r="202" spans="1:8" ht="15.75">
      <c r="A202" s="70" t="s">
        <v>301</v>
      </c>
      <c r="B202" s="178" t="s">
        <v>649</v>
      </c>
      <c r="C202" s="179" t="s">
        <v>616</v>
      </c>
      <c r="D202" s="179" t="s">
        <v>97</v>
      </c>
      <c r="E202" s="155">
        <v>610</v>
      </c>
      <c r="F202" s="279">
        <f>'приложение 5'!Q196</f>
        <v>89.5</v>
      </c>
      <c r="G202" s="279">
        <f>'приложение 5'!R196</f>
        <v>0</v>
      </c>
      <c r="H202" s="279">
        <f>'приложение 5'!S196</f>
        <v>0</v>
      </c>
    </row>
    <row r="203" spans="1:8" ht="31.5" hidden="1">
      <c r="A203" s="70" t="s">
        <v>455</v>
      </c>
      <c r="B203" s="178" t="s">
        <v>650</v>
      </c>
      <c r="C203" s="179"/>
      <c r="D203" s="179"/>
      <c r="E203" s="155"/>
      <c r="F203" s="279">
        <f aca="true" t="shared" si="7" ref="F203:H204">F204</f>
        <v>0</v>
      </c>
      <c r="G203" s="279">
        <f t="shared" si="7"/>
        <v>0</v>
      </c>
      <c r="H203" s="279">
        <f t="shared" si="7"/>
        <v>0</v>
      </c>
    </row>
    <row r="204" spans="1:8" ht="15.75" hidden="1">
      <c r="A204" s="70" t="s">
        <v>8</v>
      </c>
      <c r="B204" s="178" t="s">
        <v>651</v>
      </c>
      <c r="C204" s="179"/>
      <c r="D204" s="179"/>
      <c r="E204" s="155"/>
      <c r="F204" s="279">
        <f t="shared" si="7"/>
        <v>0</v>
      </c>
      <c r="G204" s="279">
        <f t="shared" si="7"/>
        <v>0</v>
      </c>
      <c r="H204" s="279">
        <f t="shared" si="7"/>
        <v>0</v>
      </c>
    </row>
    <row r="205" spans="1:8" ht="15.75" hidden="1">
      <c r="A205" s="70" t="s">
        <v>301</v>
      </c>
      <c r="B205" s="178" t="s">
        <v>651</v>
      </c>
      <c r="C205" s="179" t="s">
        <v>616</v>
      </c>
      <c r="D205" s="179" t="s">
        <v>97</v>
      </c>
      <c r="E205" s="155">
        <v>610</v>
      </c>
      <c r="F205" s="279">
        <f>'приложение 5'!Q199</f>
        <v>0</v>
      </c>
      <c r="G205" s="279">
        <f>'приложение 5'!R199</f>
        <v>0</v>
      </c>
      <c r="H205" s="279">
        <f>'приложение 5'!S199</f>
        <v>0</v>
      </c>
    </row>
    <row r="206" spans="1:8" ht="63" hidden="1">
      <c r="A206" s="70" t="s">
        <v>456</v>
      </c>
      <c r="B206" s="178" t="s">
        <v>652</v>
      </c>
      <c r="C206" s="179"/>
      <c r="D206" s="179"/>
      <c r="E206" s="155"/>
      <c r="F206" s="279">
        <f aca="true" t="shared" si="8" ref="F206:H207">F207</f>
        <v>0</v>
      </c>
      <c r="G206" s="279">
        <f t="shared" si="8"/>
        <v>0</v>
      </c>
      <c r="H206" s="279">
        <f t="shared" si="8"/>
        <v>0</v>
      </c>
    </row>
    <row r="207" spans="1:8" ht="15.75" hidden="1">
      <c r="A207" s="70" t="s">
        <v>8</v>
      </c>
      <c r="B207" s="178" t="s">
        <v>653</v>
      </c>
      <c r="C207" s="179"/>
      <c r="D207" s="179"/>
      <c r="E207" s="155"/>
      <c r="F207" s="279">
        <f t="shared" si="8"/>
        <v>0</v>
      </c>
      <c r="G207" s="279">
        <f t="shared" si="8"/>
        <v>0</v>
      </c>
      <c r="H207" s="279">
        <f t="shared" si="8"/>
        <v>0</v>
      </c>
    </row>
    <row r="208" spans="1:8" ht="15.75" hidden="1">
      <c r="A208" s="70" t="s">
        <v>301</v>
      </c>
      <c r="B208" s="178" t="s">
        <v>653</v>
      </c>
      <c r="C208" s="179" t="s">
        <v>616</v>
      </c>
      <c r="D208" s="179" t="s">
        <v>97</v>
      </c>
      <c r="E208" s="155">
        <v>610</v>
      </c>
      <c r="F208" s="279">
        <f>'приложение 5'!Q202</f>
        <v>0</v>
      </c>
      <c r="G208" s="279">
        <f>'приложение 5'!R202</f>
        <v>0</v>
      </c>
      <c r="H208" s="279">
        <f>'приложение 5'!S202</f>
        <v>0</v>
      </c>
    </row>
    <row r="209" spans="1:8" ht="31.5">
      <c r="A209" s="2" t="s">
        <v>272</v>
      </c>
      <c r="B209" s="178" t="s">
        <v>654</v>
      </c>
      <c r="C209" s="182"/>
      <c r="D209" s="179"/>
      <c r="E209" s="155"/>
      <c r="F209" s="279">
        <f>F210+F212</f>
        <v>7749.4</v>
      </c>
      <c r="G209" s="279">
        <f>G210+G212</f>
        <v>8525.2</v>
      </c>
      <c r="H209" s="279">
        <f>H210+H212</f>
        <v>9053.099999999999</v>
      </c>
    </row>
    <row r="210" spans="1:8" ht="15.75">
      <c r="A210" s="2" t="s">
        <v>8</v>
      </c>
      <c r="B210" s="178" t="s">
        <v>655</v>
      </c>
      <c r="C210" s="182"/>
      <c r="D210" s="179"/>
      <c r="E210" s="155"/>
      <c r="F210" s="279">
        <f>F211</f>
        <v>4765.7</v>
      </c>
      <c r="G210" s="279">
        <f>G211</f>
        <v>5174.1</v>
      </c>
      <c r="H210" s="279">
        <f>H211</f>
        <v>5295.9</v>
      </c>
    </row>
    <row r="211" spans="1:8" ht="15.75">
      <c r="A211" s="2" t="s">
        <v>301</v>
      </c>
      <c r="B211" s="178" t="s">
        <v>655</v>
      </c>
      <c r="C211" s="179" t="s">
        <v>616</v>
      </c>
      <c r="D211" s="179" t="s">
        <v>97</v>
      </c>
      <c r="E211" s="155">
        <v>610</v>
      </c>
      <c r="F211" s="279">
        <f>'приложение 5'!Q205</f>
        <v>4765.7</v>
      </c>
      <c r="G211" s="279">
        <f>'приложение 5'!R205</f>
        <v>5174.1</v>
      </c>
      <c r="H211" s="279">
        <f>'приложение 5'!S205</f>
        <v>5295.9</v>
      </c>
    </row>
    <row r="212" spans="1:8" ht="63">
      <c r="A212" s="2" t="s">
        <v>374</v>
      </c>
      <c r="B212" s="178" t="s">
        <v>656</v>
      </c>
      <c r="C212" s="182"/>
      <c r="D212" s="179"/>
      <c r="E212" s="155"/>
      <c r="F212" s="279">
        <f>F213</f>
        <v>2983.7</v>
      </c>
      <c r="G212" s="279">
        <f>G213</f>
        <v>3351.1</v>
      </c>
      <c r="H212" s="279">
        <f>H213</f>
        <v>3757.2</v>
      </c>
    </row>
    <row r="213" spans="1:8" ht="15.75">
      <c r="A213" s="2" t="s">
        <v>301</v>
      </c>
      <c r="B213" s="178" t="s">
        <v>656</v>
      </c>
      <c r="C213" s="179" t="s">
        <v>616</v>
      </c>
      <c r="D213" s="179" t="s">
        <v>97</v>
      </c>
      <c r="E213" s="155">
        <v>610</v>
      </c>
      <c r="F213" s="279">
        <f>'приложение 5'!Q207</f>
        <v>2983.7</v>
      </c>
      <c r="G213" s="279">
        <f>'приложение 5'!R207</f>
        <v>3351.1</v>
      </c>
      <c r="H213" s="279">
        <f>'приложение 5'!S207</f>
        <v>3757.2</v>
      </c>
    </row>
    <row r="214" spans="1:8" ht="47.25">
      <c r="A214" s="2" t="s">
        <v>25</v>
      </c>
      <c r="B214" s="178" t="s">
        <v>657</v>
      </c>
      <c r="C214" s="182"/>
      <c r="D214" s="179"/>
      <c r="E214" s="155"/>
      <c r="F214" s="279">
        <f aca="true" t="shared" si="9" ref="F214:H215">F215</f>
        <v>60</v>
      </c>
      <c r="G214" s="279">
        <f t="shared" si="9"/>
        <v>0</v>
      </c>
      <c r="H214" s="279">
        <f t="shared" si="9"/>
        <v>0</v>
      </c>
    </row>
    <row r="215" spans="1:8" ht="15.75">
      <c r="A215" s="2" t="s">
        <v>8</v>
      </c>
      <c r="B215" s="178" t="s">
        <v>658</v>
      </c>
      <c r="C215" s="182"/>
      <c r="D215" s="179"/>
      <c r="E215" s="155"/>
      <c r="F215" s="279">
        <f t="shared" si="9"/>
        <v>60</v>
      </c>
      <c r="G215" s="279">
        <f t="shared" si="9"/>
        <v>0</v>
      </c>
      <c r="H215" s="279">
        <f t="shared" si="9"/>
        <v>0</v>
      </c>
    </row>
    <row r="216" spans="1:8" ht="15.75">
      <c r="A216" s="2" t="s">
        <v>301</v>
      </c>
      <c r="B216" s="178" t="s">
        <v>658</v>
      </c>
      <c r="C216" s="179" t="s">
        <v>616</v>
      </c>
      <c r="D216" s="179" t="s">
        <v>97</v>
      </c>
      <c r="E216" s="155">
        <v>610</v>
      </c>
      <c r="F216" s="279">
        <f>'приложение 5'!Q210</f>
        <v>60</v>
      </c>
      <c r="G216" s="279">
        <f>'приложение 5'!R210</f>
        <v>0</v>
      </c>
      <c r="H216" s="279">
        <f>'приложение 5'!S210</f>
        <v>0</v>
      </c>
    </row>
    <row r="217" spans="1:8" s="205" customFormat="1" ht="47.25">
      <c r="A217" s="427" t="s">
        <v>544</v>
      </c>
      <c r="B217" s="197" t="s">
        <v>659</v>
      </c>
      <c r="C217" s="204"/>
      <c r="D217" s="204"/>
      <c r="E217" s="197"/>
      <c r="F217" s="291">
        <f>F221+F224+F226+F218</f>
        <v>149007.59999999998</v>
      </c>
      <c r="G217" s="291">
        <f>G221+G224+G226+G218</f>
        <v>330</v>
      </c>
      <c r="H217" s="291">
        <f>H221+H224+H226+H218</f>
        <v>330</v>
      </c>
    </row>
    <row r="218" spans="1:8" ht="15.75">
      <c r="A218" s="376" t="s">
        <v>1105</v>
      </c>
      <c r="B218" s="178" t="s">
        <v>1035</v>
      </c>
      <c r="C218" s="179"/>
      <c r="D218" s="179"/>
      <c r="E218" s="178"/>
      <c r="F218" s="279">
        <f aca="true" t="shared" si="10" ref="F218:H219">F219</f>
        <v>30</v>
      </c>
      <c r="G218" s="279">
        <f t="shared" si="10"/>
        <v>30</v>
      </c>
      <c r="H218" s="279">
        <f t="shared" si="10"/>
        <v>30</v>
      </c>
    </row>
    <row r="219" spans="1:8" ht="15.75">
      <c r="A219" s="129" t="s">
        <v>1033</v>
      </c>
      <c r="B219" s="178" t="s">
        <v>1036</v>
      </c>
      <c r="C219" s="179"/>
      <c r="D219" s="179"/>
      <c r="E219" s="178"/>
      <c r="F219" s="279">
        <f t="shared" si="10"/>
        <v>30</v>
      </c>
      <c r="G219" s="279">
        <f t="shared" si="10"/>
        <v>30</v>
      </c>
      <c r="H219" s="279">
        <f t="shared" si="10"/>
        <v>30</v>
      </c>
    </row>
    <row r="220" spans="1:8" ht="47.25">
      <c r="A220" s="129" t="s">
        <v>299</v>
      </c>
      <c r="B220" s="178" t="s">
        <v>1036</v>
      </c>
      <c r="C220" s="179" t="s">
        <v>616</v>
      </c>
      <c r="D220" s="179" t="s">
        <v>99</v>
      </c>
      <c r="E220" s="178">
        <v>240</v>
      </c>
      <c r="F220" s="279">
        <f>'приложение 5'!Q329</f>
        <v>30</v>
      </c>
      <c r="G220" s="279">
        <f>'приложение 5'!R329</f>
        <v>30</v>
      </c>
      <c r="H220" s="279">
        <f>'приложение 5'!S329</f>
        <v>30</v>
      </c>
    </row>
    <row r="221" spans="1:8" ht="47.25">
      <c r="A221" s="247" t="s">
        <v>41</v>
      </c>
      <c r="B221" s="178" t="s">
        <v>863</v>
      </c>
      <c r="C221" s="182"/>
      <c r="D221" s="179"/>
      <c r="E221" s="155"/>
      <c r="F221" s="279">
        <f>F222</f>
        <v>141038.8</v>
      </c>
      <c r="G221" s="279">
        <f aca="true" t="shared" si="11" ref="F221:H222">G222</f>
        <v>0</v>
      </c>
      <c r="H221" s="279">
        <f t="shared" si="11"/>
        <v>0</v>
      </c>
    </row>
    <row r="222" spans="1:8" ht="31.5">
      <c r="A222" s="247" t="s">
        <v>545</v>
      </c>
      <c r="B222" s="178" t="s">
        <v>864</v>
      </c>
      <c r="C222" s="182"/>
      <c r="D222" s="179"/>
      <c r="E222" s="155"/>
      <c r="F222" s="279">
        <f t="shared" si="11"/>
        <v>141038.8</v>
      </c>
      <c r="G222" s="279">
        <f t="shared" si="11"/>
        <v>0</v>
      </c>
      <c r="H222" s="279">
        <f t="shared" si="11"/>
        <v>0</v>
      </c>
    </row>
    <row r="223" spans="1:8" ht="47.25">
      <c r="A223" s="2" t="s">
        <v>299</v>
      </c>
      <c r="B223" s="178" t="s">
        <v>864</v>
      </c>
      <c r="C223" s="179" t="s">
        <v>616</v>
      </c>
      <c r="D223" s="179" t="s">
        <v>862</v>
      </c>
      <c r="E223" s="155">
        <v>240</v>
      </c>
      <c r="F223" s="279">
        <f>'приложение 5'!Q317</f>
        <v>141038.8</v>
      </c>
      <c r="G223" s="279">
        <f>'приложение 5'!R317</f>
        <v>0</v>
      </c>
      <c r="H223" s="279">
        <f>'приложение 5'!S317</f>
        <v>0</v>
      </c>
    </row>
    <row r="224" spans="1:8" ht="47.25">
      <c r="A224" s="8" t="s">
        <v>865</v>
      </c>
      <c r="B224" s="178" t="s">
        <v>861</v>
      </c>
      <c r="C224" s="179"/>
      <c r="D224" s="179"/>
      <c r="E224" s="155"/>
      <c r="F224" s="279">
        <f>F225</f>
        <v>7638.8</v>
      </c>
      <c r="G224" s="279">
        <f>G225</f>
        <v>0</v>
      </c>
      <c r="H224" s="279">
        <f>H225</f>
        <v>0</v>
      </c>
    </row>
    <row r="225" spans="1:8" ht="47.25">
      <c r="A225" s="8" t="s">
        <v>299</v>
      </c>
      <c r="B225" s="178" t="s">
        <v>861</v>
      </c>
      <c r="C225" s="179" t="s">
        <v>616</v>
      </c>
      <c r="D225" s="179" t="s">
        <v>862</v>
      </c>
      <c r="E225" s="155">
        <v>240</v>
      </c>
      <c r="F225" s="279">
        <f>'приложение 5'!Q319</f>
        <v>7638.8</v>
      </c>
      <c r="G225" s="279">
        <f>'приложение 5'!R319</f>
        <v>0</v>
      </c>
      <c r="H225" s="279">
        <f>'приложение 5'!S319</f>
        <v>0</v>
      </c>
    </row>
    <row r="226" spans="1:8" ht="15.75">
      <c r="A226" s="8" t="s">
        <v>1005</v>
      </c>
      <c r="B226" s="178" t="s">
        <v>868</v>
      </c>
      <c r="C226" s="179"/>
      <c r="D226" s="179"/>
      <c r="E226" s="155"/>
      <c r="F226" s="279">
        <f>F227</f>
        <v>300</v>
      </c>
      <c r="G226" s="279">
        <f>G227</f>
        <v>300</v>
      </c>
      <c r="H226" s="279">
        <f>H227</f>
        <v>300</v>
      </c>
    </row>
    <row r="227" spans="1:8" ht="47.25">
      <c r="A227" s="8" t="s">
        <v>299</v>
      </c>
      <c r="B227" s="178" t="s">
        <v>868</v>
      </c>
      <c r="C227" s="179" t="s">
        <v>616</v>
      </c>
      <c r="D227" s="179" t="s">
        <v>99</v>
      </c>
      <c r="E227" s="155">
        <v>240</v>
      </c>
      <c r="F227" s="279">
        <f>'приложение 5'!Q336</f>
        <v>300</v>
      </c>
      <c r="G227" s="279">
        <f>'приложение 5'!R336</f>
        <v>300</v>
      </c>
      <c r="H227" s="279">
        <f>'приложение 5'!S336</f>
        <v>300</v>
      </c>
    </row>
    <row r="228" spans="1:8" s="205" customFormat="1" ht="47.25">
      <c r="A228" s="29" t="s">
        <v>573</v>
      </c>
      <c r="B228" s="197" t="s">
        <v>660</v>
      </c>
      <c r="C228" s="204"/>
      <c r="D228" s="204"/>
      <c r="E228" s="197"/>
      <c r="F228" s="291">
        <f>F229+F233+F251</f>
        <v>26454</v>
      </c>
      <c r="G228" s="291">
        <f>G229+G233+G251</f>
        <v>27953.4</v>
      </c>
      <c r="H228" s="291">
        <f>H229+H233+H251</f>
        <v>26953.4</v>
      </c>
    </row>
    <row r="229" spans="1:8" ht="47.25">
      <c r="A229" s="8" t="s">
        <v>574</v>
      </c>
      <c r="B229" s="178" t="s">
        <v>661</v>
      </c>
      <c r="C229" s="182"/>
      <c r="D229" s="182"/>
      <c r="E229" s="155"/>
      <c r="F229" s="279">
        <f>F230</f>
        <v>20</v>
      </c>
      <c r="G229" s="279">
        <f aca="true" t="shared" si="12" ref="G229:H231">G230</f>
        <v>20</v>
      </c>
      <c r="H229" s="279">
        <f t="shared" si="12"/>
        <v>20</v>
      </c>
    </row>
    <row r="230" spans="1:8" ht="47.25">
      <c r="A230" s="8" t="s">
        <v>575</v>
      </c>
      <c r="B230" s="178" t="s">
        <v>664</v>
      </c>
      <c r="C230" s="182"/>
      <c r="D230" s="182"/>
      <c r="E230" s="155"/>
      <c r="F230" s="279">
        <f>F231</f>
        <v>20</v>
      </c>
      <c r="G230" s="279">
        <f t="shared" si="12"/>
        <v>20</v>
      </c>
      <c r="H230" s="279">
        <f t="shared" si="12"/>
        <v>20</v>
      </c>
    </row>
    <row r="231" spans="1:8" ht="31.5">
      <c r="A231" s="8" t="s">
        <v>60</v>
      </c>
      <c r="B231" s="178" t="s">
        <v>662</v>
      </c>
      <c r="C231" s="182"/>
      <c r="D231" s="182"/>
      <c r="E231" s="155"/>
      <c r="F231" s="279">
        <f>F232</f>
        <v>20</v>
      </c>
      <c r="G231" s="279">
        <f t="shared" si="12"/>
        <v>20</v>
      </c>
      <c r="H231" s="279">
        <f t="shared" si="12"/>
        <v>20</v>
      </c>
    </row>
    <row r="232" spans="1:8" ht="47.25">
      <c r="A232" s="2" t="s">
        <v>299</v>
      </c>
      <c r="B232" s="178" t="s">
        <v>662</v>
      </c>
      <c r="C232" s="179" t="s">
        <v>663</v>
      </c>
      <c r="D232" s="182" t="s">
        <v>100</v>
      </c>
      <c r="E232" s="155">
        <v>240</v>
      </c>
      <c r="F232" s="279">
        <f>'приложение 5'!Q662</f>
        <v>20</v>
      </c>
      <c r="G232" s="279">
        <f>'приложение 5'!R662</f>
        <v>20</v>
      </c>
      <c r="H232" s="279">
        <f>'приложение 5'!S662</f>
        <v>20</v>
      </c>
    </row>
    <row r="233" spans="1:8" ht="63">
      <c r="A233" s="8" t="s">
        <v>576</v>
      </c>
      <c r="B233" s="178" t="s">
        <v>665</v>
      </c>
      <c r="C233" s="182"/>
      <c r="D233" s="182"/>
      <c r="E233" s="155"/>
      <c r="F233" s="279">
        <f>F234+F243</f>
        <v>26414</v>
      </c>
      <c r="G233" s="279">
        <f>G234+G243</f>
        <v>27913.4</v>
      </c>
      <c r="H233" s="279">
        <f>H234+H243</f>
        <v>26913.4</v>
      </c>
    </row>
    <row r="234" spans="1:8" ht="141.75">
      <c r="A234" s="8" t="s">
        <v>577</v>
      </c>
      <c r="B234" s="178" t="s">
        <v>666</v>
      </c>
      <c r="C234" s="182"/>
      <c r="D234" s="182"/>
      <c r="E234" s="155"/>
      <c r="F234" s="279">
        <f>F235+F239+F241</f>
        <v>9010.5</v>
      </c>
      <c r="G234" s="279">
        <f>G235+G239+G241</f>
        <v>9680.2</v>
      </c>
      <c r="H234" s="279">
        <f>H235+H239+H241</f>
        <v>9180.2</v>
      </c>
    </row>
    <row r="235" spans="1:8" ht="31.5">
      <c r="A235" s="369" t="s">
        <v>60</v>
      </c>
      <c r="B235" s="178" t="s">
        <v>667</v>
      </c>
      <c r="C235" s="182"/>
      <c r="D235" s="182"/>
      <c r="E235" s="155"/>
      <c r="F235" s="279">
        <f>SUM(F236:F238)</f>
        <v>5415</v>
      </c>
      <c r="G235" s="279">
        <f>SUM(G236:G238)</f>
        <v>6084.7</v>
      </c>
      <c r="H235" s="279">
        <f>SUM(H236:H238)</f>
        <v>5584.7</v>
      </c>
    </row>
    <row r="236" spans="1:8" ht="31.5">
      <c r="A236" s="369" t="s">
        <v>204</v>
      </c>
      <c r="B236" s="178" t="s">
        <v>667</v>
      </c>
      <c r="C236" s="179" t="s">
        <v>663</v>
      </c>
      <c r="D236" s="182" t="s">
        <v>100</v>
      </c>
      <c r="E236" s="155">
        <v>120</v>
      </c>
      <c r="F236" s="279">
        <f>'приложение 5'!Q666</f>
        <v>4607.7</v>
      </c>
      <c r="G236" s="279">
        <f>'приложение 5'!R666</f>
        <v>5303.4</v>
      </c>
      <c r="H236" s="279">
        <f>'приложение 5'!S666</f>
        <v>5258.4</v>
      </c>
    </row>
    <row r="237" spans="1:8" ht="47.25">
      <c r="A237" s="369" t="s">
        <v>299</v>
      </c>
      <c r="B237" s="178" t="s">
        <v>667</v>
      </c>
      <c r="C237" s="179" t="s">
        <v>663</v>
      </c>
      <c r="D237" s="182" t="s">
        <v>100</v>
      </c>
      <c r="E237" s="155">
        <v>240</v>
      </c>
      <c r="F237" s="279">
        <f>'приложение 5'!Q667</f>
        <v>774.3</v>
      </c>
      <c r="G237" s="279">
        <f>'приложение 5'!R667</f>
        <v>774.3</v>
      </c>
      <c r="H237" s="279">
        <f>'приложение 5'!S667</f>
        <v>324.3</v>
      </c>
    </row>
    <row r="238" spans="1:8" ht="15.75">
      <c r="A238" s="369" t="s">
        <v>300</v>
      </c>
      <c r="B238" s="178" t="s">
        <v>667</v>
      </c>
      <c r="C238" s="179" t="s">
        <v>663</v>
      </c>
      <c r="D238" s="182" t="s">
        <v>100</v>
      </c>
      <c r="E238" s="155">
        <v>850</v>
      </c>
      <c r="F238" s="279">
        <f>'приложение 5'!Q668</f>
        <v>33</v>
      </c>
      <c r="G238" s="279">
        <f>'приложение 5'!R668</f>
        <v>7</v>
      </c>
      <c r="H238" s="279">
        <f>'приложение 5'!S668</f>
        <v>2</v>
      </c>
    </row>
    <row r="239" spans="1:8" ht="63">
      <c r="A239" s="8" t="s">
        <v>374</v>
      </c>
      <c r="B239" s="178" t="s">
        <v>668</v>
      </c>
      <c r="C239" s="182"/>
      <c r="D239" s="182"/>
      <c r="E239" s="155"/>
      <c r="F239" s="279">
        <f>F240</f>
        <v>3549.9</v>
      </c>
      <c r="G239" s="279">
        <f>G240</f>
        <v>3549.9</v>
      </c>
      <c r="H239" s="279">
        <f>H240</f>
        <v>3549.9</v>
      </c>
    </row>
    <row r="240" spans="1:8" ht="31.5">
      <c r="A240" s="8" t="s">
        <v>204</v>
      </c>
      <c r="B240" s="178" t="s">
        <v>668</v>
      </c>
      <c r="C240" s="179" t="s">
        <v>663</v>
      </c>
      <c r="D240" s="179" t="s">
        <v>100</v>
      </c>
      <c r="E240" s="155">
        <v>120</v>
      </c>
      <c r="F240" s="279">
        <f>'приложение 5'!Q670</f>
        <v>3549.9</v>
      </c>
      <c r="G240" s="279">
        <f>'приложение 5'!R670</f>
        <v>3549.9</v>
      </c>
      <c r="H240" s="279">
        <f>'приложение 5'!S670</f>
        <v>3549.9</v>
      </c>
    </row>
    <row r="241" spans="1:8" ht="31.5">
      <c r="A241" s="2" t="s">
        <v>342</v>
      </c>
      <c r="B241" s="178" t="s">
        <v>1116</v>
      </c>
      <c r="C241" s="179"/>
      <c r="D241" s="179"/>
      <c r="E241" s="155"/>
      <c r="F241" s="279">
        <f>F242</f>
        <v>45.6</v>
      </c>
      <c r="G241" s="279">
        <f>G242</f>
        <v>45.6</v>
      </c>
      <c r="H241" s="279">
        <f>H242</f>
        <v>45.6</v>
      </c>
    </row>
    <row r="242" spans="1:8" ht="47.25">
      <c r="A242" s="2" t="s">
        <v>299</v>
      </c>
      <c r="B242" s="178" t="s">
        <v>1116</v>
      </c>
      <c r="C242" s="179" t="s">
        <v>663</v>
      </c>
      <c r="D242" s="179" t="s">
        <v>100</v>
      </c>
      <c r="E242" s="155">
        <v>240</v>
      </c>
      <c r="F242" s="279">
        <f>'приложение 5'!Q672</f>
        <v>45.6</v>
      </c>
      <c r="G242" s="279">
        <f>'приложение 5'!R672</f>
        <v>45.6</v>
      </c>
      <c r="H242" s="279">
        <f>'приложение 5'!S672</f>
        <v>45.6</v>
      </c>
    </row>
    <row r="243" spans="1:8" ht="47.25">
      <c r="A243" s="369" t="s">
        <v>296</v>
      </c>
      <c r="B243" s="178" t="s">
        <v>669</v>
      </c>
      <c r="C243" s="182"/>
      <c r="D243" s="182"/>
      <c r="E243" s="155"/>
      <c r="F243" s="279">
        <f>F244+F249</f>
        <v>17403.5</v>
      </c>
      <c r="G243" s="279">
        <f>G244+G249</f>
        <v>18233.2</v>
      </c>
      <c r="H243" s="279">
        <f>H244+H249</f>
        <v>17733.2</v>
      </c>
    </row>
    <row r="244" spans="1:8" ht="31.5">
      <c r="A244" s="369" t="s">
        <v>62</v>
      </c>
      <c r="B244" s="178" t="s">
        <v>670</v>
      </c>
      <c r="C244" s="182"/>
      <c r="D244" s="182"/>
      <c r="E244" s="155"/>
      <c r="F244" s="279">
        <f>SUM(F245:F248)</f>
        <v>10429.2</v>
      </c>
      <c r="G244" s="279">
        <f>SUM(G245:G248)</f>
        <v>11258.9</v>
      </c>
      <c r="H244" s="279">
        <f>SUM(H245:H248)</f>
        <v>10758.9</v>
      </c>
    </row>
    <row r="245" spans="1:8" ht="31.5">
      <c r="A245" s="369" t="s">
        <v>302</v>
      </c>
      <c r="B245" s="178" t="s">
        <v>670</v>
      </c>
      <c r="C245" s="179" t="s">
        <v>663</v>
      </c>
      <c r="D245" s="182" t="s">
        <v>87</v>
      </c>
      <c r="E245" s="155">
        <v>110</v>
      </c>
      <c r="F245" s="279">
        <f>'приложение 5'!Q683</f>
        <v>9799.2</v>
      </c>
      <c r="G245" s="279">
        <f>'приложение 5'!R683</f>
        <v>10362.1</v>
      </c>
      <c r="H245" s="279">
        <f>'приложение 5'!S683</f>
        <v>10331</v>
      </c>
    </row>
    <row r="246" spans="1:8" ht="47.25">
      <c r="A246" s="369" t="s">
        <v>299</v>
      </c>
      <c r="B246" s="178" t="s">
        <v>670</v>
      </c>
      <c r="C246" s="179" t="s">
        <v>663</v>
      </c>
      <c r="D246" s="182" t="s">
        <v>87</v>
      </c>
      <c r="E246" s="155">
        <v>240</v>
      </c>
      <c r="F246" s="279">
        <f>'приложение 5'!Q684</f>
        <v>628</v>
      </c>
      <c r="G246" s="279">
        <f>'приложение 5'!R684</f>
        <v>896.8</v>
      </c>
      <c r="H246" s="279">
        <f>'приложение 5'!S684</f>
        <v>427.9</v>
      </c>
    </row>
    <row r="247" spans="1:8" ht="31.5">
      <c r="A247" s="8" t="s">
        <v>304</v>
      </c>
      <c r="B247" s="178" t="s">
        <v>670</v>
      </c>
      <c r="C247" s="179" t="s">
        <v>663</v>
      </c>
      <c r="D247" s="179" t="s">
        <v>87</v>
      </c>
      <c r="E247" s="155">
        <v>320</v>
      </c>
      <c r="F247" s="279">
        <f>'приложение 5'!Q685</f>
        <v>2</v>
      </c>
      <c r="G247" s="279">
        <f>'приложение 5'!R685</f>
        <v>0</v>
      </c>
      <c r="H247" s="279">
        <f>'приложение 5'!S685</f>
        <v>0</v>
      </c>
    </row>
    <row r="248" spans="1:8" ht="15.75" hidden="1">
      <c r="A248" s="8" t="s">
        <v>300</v>
      </c>
      <c r="B248" s="178" t="s">
        <v>670</v>
      </c>
      <c r="C248" s="179" t="s">
        <v>663</v>
      </c>
      <c r="D248" s="182" t="s">
        <v>87</v>
      </c>
      <c r="E248" s="155">
        <v>850</v>
      </c>
      <c r="F248" s="279">
        <f>'приложение 5'!Q686</f>
        <v>0</v>
      </c>
      <c r="G248" s="279">
        <f>'приложение 5'!R686</f>
        <v>0</v>
      </c>
      <c r="H248" s="279">
        <f>'приложение 5'!S686</f>
        <v>0</v>
      </c>
    </row>
    <row r="249" spans="1:8" ht="63">
      <c r="A249" s="8" t="s">
        <v>374</v>
      </c>
      <c r="B249" s="178" t="s">
        <v>671</v>
      </c>
      <c r="C249" s="182"/>
      <c r="D249" s="182"/>
      <c r="E249" s="155"/>
      <c r="F249" s="279">
        <f>F250</f>
        <v>6974.3</v>
      </c>
      <c r="G249" s="279">
        <f>G250</f>
        <v>6974.3</v>
      </c>
      <c r="H249" s="279">
        <f>H250</f>
        <v>6974.3</v>
      </c>
    </row>
    <row r="250" spans="1:8" ht="31.5">
      <c r="A250" s="8" t="s">
        <v>330</v>
      </c>
      <c r="B250" s="178" t="s">
        <v>671</v>
      </c>
      <c r="C250" s="179" t="s">
        <v>663</v>
      </c>
      <c r="D250" s="179" t="s">
        <v>87</v>
      </c>
      <c r="E250" s="155">
        <v>110</v>
      </c>
      <c r="F250" s="279">
        <f>'приложение 5'!Q688</f>
        <v>6974.3</v>
      </c>
      <c r="G250" s="279">
        <f>'приложение 5'!R688</f>
        <v>6974.3</v>
      </c>
      <c r="H250" s="279">
        <f>'приложение 5'!S688</f>
        <v>6974.3</v>
      </c>
    </row>
    <row r="251" spans="1:8" ht="31.5">
      <c r="A251" s="8" t="s">
        <v>578</v>
      </c>
      <c r="B251" s="178" t="s">
        <v>672</v>
      </c>
      <c r="C251" s="182"/>
      <c r="D251" s="182"/>
      <c r="E251" s="155"/>
      <c r="F251" s="279">
        <f aca="true" t="shared" si="13" ref="F251:H252">F252</f>
        <v>20</v>
      </c>
      <c r="G251" s="279">
        <f t="shared" si="13"/>
        <v>20</v>
      </c>
      <c r="H251" s="279">
        <f t="shared" si="13"/>
        <v>20</v>
      </c>
    </row>
    <row r="252" spans="1:8" ht="47.25">
      <c r="A252" s="8" t="s">
        <v>579</v>
      </c>
      <c r="B252" s="178" t="s">
        <v>673</v>
      </c>
      <c r="C252" s="182"/>
      <c r="D252" s="182"/>
      <c r="E252" s="155"/>
      <c r="F252" s="279">
        <f t="shared" si="13"/>
        <v>20</v>
      </c>
      <c r="G252" s="279">
        <f t="shared" si="13"/>
        <v>20</v>
      </c>
      <c r="H252" s="279">
        <f t="shared" si="13"/>
        <v>20</v>
      </c>
    </row>
    <row r="253" spans="1:8" ht="31.5">
      <c r="A253" s="8" t="s">
        <v>459</v>
      </c>
      <c r="B253" s="178" t="s">
        <v>674</v>
      </c>
      <c r="C253" s="182"/>
      <c r="D253" s="182"/>
      <c r="E253" s="155"/>
      <c r="F253" s="279">
        <f>F254+F255</f>
        <v>20</v>
      </c>
      <c r="G253" s="279">
        <f>G254+G255</f>
        <v>20</v>
      </c>
      <c r="H253" s="279">
        <f>H254+H255</f>
        <v>20</v>
      </c>
    </row>
    <row r="254" spans="1:8" ht="47.25">
      <c r="A254" s="8" t="s">
        <v>299</v>
      </c>
      <c r="B254" s="178" t="s">
        <v>674</v>
      </c>
      <c r="C254" s="179" t="s">
        <v>663</v>
      </c>
      <c r="D254" s="179" t="s">
        <v>100</v>
      </c>
      <c r="E254" s="155">
        <v>240</v>
      </c>
      <c r="F254" s="279">
        <f>'приложение 5'!Q676</f>
        <v>20</v>
      </c>
      <c r="G254" s="279">
        <f>'приложение 5'!R676</f>
        <v>20</v>
      </c>
      <c r="H254" s="279">
        <f>'приложение 5'!S676</f>
        <v>20</v>
      </c>
    </row>
    <row r="255" spans="1:8" ht="47.25" hidden="1">
      <c r="A255" s="8" t="s">
        <v>299</v>
      </c>
      <c r="B255" s="178" t="s">
        <v>674</v>
      </c>
      <c r="C255" s="179" t="s">
        <v>663</v>
      </c>
      <c r="D255" s="179" t="s">
        <v>100</v>
      </c>
      <c r="E255" s="155">
        <v>850</v>
      </c>
      <c r="F255" s="279">
        <f>'приложение 5'!Q677</f>
        <v>0</v>
      </c>
      <c r="G255" s="279">
        <f>'приложение 5'!R677</f>
        <v>0</v>
      </c>
      <c r="H255" s="279">
        <f>'приложение 5'!S677</f>
        <v>0</v>
      </c>
    </row>
    <row r="256" spans="1:8" s="205" customFormat="1" ht="47.25">
      <c r="A256" s="259" t="s">
        <v>549</v>
      </c>
      <c r="B256" s="197" t="s">
        <v>675</v>
      </c>
      <c r="C256" s="204"/>
      <c r="D256" s="204"/>
      <c r="E256" s="197"/>
      <c r="F256" s="291">
        <f>F257+F266+F271+F277</f>
        <v>50374.6</v>
      </c>
      <c r="G256" s="291">
        <f>G257+G266+G271+G277</f>
        <v>47681.1</v>
      </c>
      <c r="H256" s="291">
        <f>H257+H266+H271+H277</f>
        <v>49806.1</v>
      </c>
    </row>
    <row r="257" spans="1:8" ht="47.25">
      <c r="A257" s="1" t="s">
        <v>552</v>
      </c>
      <c r="B257" s="178" t="s">
        <v>676</v>
      </c>
      <c r="C257" s="182"/>
      <c r="D257" s="182"/>
      <c r="E257" s="155"/>
      <c r="F257" s="279">
        <f>F258+F260+F262+F264</f>
        <v>16692.8</v>
      </c>
      <c r="G257" s="279">
        <f>G258+G260+G262+G264</f>
        <v>15947.099999999999</v>
      </c>
      <c r="H257" s="279">
        <f>H258+H260+H262+H264</f>
        <v>16820.8</v>
      </c>
    </row>
    <row r="258" spans="1:8" ht="15.75">
      <c r="A258" s="176" t="s">
        <v>36</v>
      </c>
      <c r="B258" s="178" t="s">
        <v>677</v>
      </c>
      <c r="C258" s="182"/>
      <c r="D258" s="182"/>
      <c r="E258" s="155"/>
      <c r="F258" s="279">
        <f>F259</f>
        <v>9922.5</v>
      </c>
      <c r="G258" s="279">
        <f>G259</f>
        <v>10265.9</v>
      </c>
      <c r="H258" s="279">
        <f>H259</f>
        <v>10460.5</v>
      </c>
    </row>
    <row r="259" spans="1:8" ht="15.75">
      <c r="A259" s="369" t="s">
        <v>301</v>
      </c>
      <c r="B259" s="178" t="s">
        <v>677</v>
      </c>
      <c r="C259" s="179" t="s">
        <v>616</v>
      </c>
      <c r="D259" s="182" t="s">
        <v>173</v>
      </c>
      <c r="E259" s="155">
        <v>610</v>
      </c>
      <c r="F259" s="279">
        <f>'приложение 5'!Q376</f>
        <v>9922.5</v>
      </c>
      <c r="G259" s="279">
        <f>'приложение 5'!R376</f>
        <v>10265.9</v>
      </c>
      <c r="H259" s="279">
        <f>'приложение 5'!S376</f>
        <v>10460.5</v>
      </c>
    </row>
    <row r="260" spans="1:8" ht="63">
      <c r="A260" s="134" t="s">
        <v>374</v>
      </c>
      <c r="B260" s="178" t="s">
        <v>678</v>
      </c>
      <c r="C260" s="182"/>
      <c r="D260" s="182"/>
      <c r="E260" s="155"/>
      <c r="F260" s="279">
        <f>F261</f>
        <v>4992</v>
      </c>
      <c r="G260" s="279">
        <f>G261</f>
        <v>5681.2</v>
      </c>
      <c r="H260" s="279">
        <f>H261</f>
        <v>6360.3</v>
      </c>
    </row>
    <row r="261" spans="1:8" ht="15.75">
      <c r="A261" s="134" t="s">
        <v>301</v>
      </c>
      <c r="B261" s="178" t="s">
        <v>678</v>
      </c>
      <c r="C261" s="179" t="s">
        <v>616</v>
      </c>
      <c r="D261" s="179" t="s">
        <v>173</v>
      </c>
      <c r="E261" s="155">
        <v>610</v>
      </c>
      <c r="F261" s="279">
        <f>'приложение 5'!Q378</f>
        <v>4992</v>
      </c>
      <c r="G261" s="279">
        <f>'приложение 5'!R378</f>
        <v>5681.2</v>
      </c>
      <c r="H261" s="279">
        <f>'приложение 5'!S378</f>
        <v>6360.3</v>
      </c>
    </row>
    <row r="262" spans="1:8" ht="47.25">
      <c r="A262" s="176" t="s">
        <v>553</v>
      </c>
      <c r="B262" s="178" t="s">
        <v>679</v>
      </c>
      <c r="C262" s="182"/>
      <c r="D262" s="182"/>
      <c r="E262" s="155"/>
      <c r="F262" s="279">
        <f>F263</f>
        <v>1778.3</v>
      </c>
      <c r="G262" s="279">
        <f>G263</f>
        <v>0</v>
      </c>
      <c r="H262" s="279">
        <f>H263</f>
        <v>0</v>
      </c>
    </row>
    <row r="263" spans="1:8" ht="15.75">
      <c r="A263" s="8" t="s">
        <v>301</v>
      </c>
      <c r="B263" s="178" t="s">
        <v>679</v>
      </c>
      <c r="C263" s="179" t="s">
        <v>616</v>
      </c>
      <c r="D263" s="182" t="s">
        <v>173</v>
      </c>
      <c r="E263" s="155">
        <v>610</v>
      </c>
      <c r="F263" s="279">
        <f>'приложение 5'!Q380</f>
        <v>1778.3</v>
      </c>
      <c r="G263" s="279">
        <f>'приложение 5'!R380</f>
        <v>0</v>
      </c>
      <c r="H263" s="279">
        <f>'приложение 5'!S380</f>
        <v>0</v>
      </c>
    </row>
    <row r="264" spans="1:8" ht="31.5" hidden="1">
      <c r="A264" s="1" t="s">
        <v>554</v>
      </c>
      <c r="B264" s="178" t="s">
        <v>680</v>
      </c>
      <c r="C264" s="182"/>
      <c r="D264" s="182"/>
      <c r="E264" s="155"/>
      <c r="F264" s="279">
        <f>F265</f>
        <v>0</v>
      </c>
      <c r="G264" s="279">
        <f>G265</f>
        <v>0</v>
      </c>
      <c r="H264" s="279">
        <f>H265</f>
        <v>0</v>
      </c>
    </row>
    <row r="265" spans="1:8" ht="15.75" hidden="1">
      <c r="A265" s="8" t="s">
        <v>301</v>
      </c>
      <c r="B265" s="178" t="s">
        <v>680</v>
      </c>
      <c r="C265" s="179" t="s">
        <v>616</v>
      </c>
      <c r="D265" s="182" t="s">
        <v>173</v>
      </c>
      <c r="E265" s="155">
        <v>610</v>
      </c>
      <c r="F265" s="279">
        <f>'приложение 5'!Q382</f>
        <v>0</v>
      </c>
      <c r="G265" s="279">
        <f>'приложение 5'!R382</f>
        <v>0</v>
      </c>
      <c r="H265" s="279">
        <f>'приложение 5'!S382</f>
        <v>0</v>
      </c>
    </row>
    <row r="266" spans="1:8" ht="47.25">
      <c r="A266" s="2" t="s">
        <v>284</v>
      </c>
      <c r="B266" s="178" t="s">
        <v>681</v>
      </c>
      <c r="C266" s="182"/>
      <c r="D266" s="182"/>
      <c r="E266" s="155"/>
      <c r="F266" s="279">
        <f>F267+F269</f>
        <v>18588.2</v>
      </c>
      <c r="G266" s="279">
        <f>G267+G269</f>
        <v>19458.4</v>
      </c>
      <c r="H266" s="279">
        <f>H267+H269</f>
        <v>20433.7</v>
      </c>
    </row>
    <row r="267" spans="1:8" ht="15.75">
      <c r="A267" s="2" t="s">
        <v>8</v>
      </c>
      <c r="B267" s="178" t="s">
        <v>682</v>
      </c>
      <c r="C267" s="182"/>
      <c r="D267" s="182"/>
      <c r="E267" s="155"/>
      <c r="F267" s="279">
        <f>F268</f>
        <v>12599.7</v>
      </c>
      <c r="G267" s="279">
        <f>G268</f>
        <v>12816.5</v>
      </c>
      <c r="H267" s="279">
        <f>H268</f>
        <v>13018.2</v>
      </c>
    </row>
    <row r="268" spans="1:8" ht="15.75">
      <c r="A268" s="369" t="s">
        <v>301</v>
      </c>
      <c r="B268" s="178" t="s">
        <v>682</v>
      </c>
      <c r="C268" s="179" t="s">
        <v>616</v>
      </c>
      <c r="D268" s="182" t="s">
        <v>173</v>
      </c>
      <c r="E268" s="155">
        <v>610</v>
      </c>
      <c r="F268" s="279">
        <f>'приложение 5'!Q385</f>
        <v>12599.7</v>
      </c>
      <c r="G268" s="279">
        <f>'приложение 5'!R385</f>
        <v>12816.5</v>
      </c>
      <c r="H268" s="279">
        <f>'приложение 5'!S385</f>
        <v>13018.2</v>
      </c>
    </row>
    <row r="269" spans="1:8" ht="63">
      <c r="A269" s="134" t="s">
        <v>374</v>
      </c>
      <c r="B269" s="178" t="s">
        <v>683</v>
      </c>
      <c r="C269" s="182"/>
      <c r="D269" s="182"/>
      <c r="E269" s="155"/>
      <c r="F269" s="279">
        <f>F270</f>
        <v>5988.5</v>
      </c>
      <c r="G269" s="279">
        <f>G270</f>
        <v>6641.9</v>
      </c>
      <c r="H269" s="279">
        <f>H270</f>
        <v>7415.5</v>
      </c>
    </row>
    <row r="270" spans="1:8" ht="15.75">
      <c r="A270" s="134" t="s">
        <v>301</v>
      </c>
      <c r="B270" s="178" t="s">
        <v>683</v>
      </c>
      <c r="C270" s="179" t="s">
        <v>616</v>
      </c>
      <c r="D270" s="179" t="s">
        <v>173</v>
      </c>
      <c r="E270" s="155">
        <v>610</v>
      </c>
      <c r="F270" s="279">
        <f>'приложение 5'!Q387</f>
        <v>5988.5</v>
      </c>
      <c r="G270" s="279">
        <f>'приложение 5'!R387</f>
        <v>6641.9</v>
      </c>
      <c r="H270" s="279">
        <f>'приложение 5'!S387</f>
        <v>7415.5</v>
      </c>
    </row>
    <row r="271" spans="1:8" ht="63">
      <c r="A271" s="176" t="s">
        <v>555</v>
      </c>
      <c r="B271" s="178" t="s">
        <v>684</v>
      </c>
      <c r="C271" s="182"/>
      <c r="D271" s="182"/>
      <c r="E271" s="155"/>
      <c r="F271" s="279">
        <f>F272+F275</f>
        <v>5215.1</v>
      </c>
      <c r="G271" s="279">
        <f>G272+G275</f>
        <v>500</v>
      </c>
      <c r="H271" s="279">
        <f>H272+H275</f>
        <v>250</v>
      </c>
    </row>
    <row r="272" spans="1:8" ht="15.75">
      <c r="A272" s="2" t="s">
        <v>8</v>
      </c>
      <c r="B272" s="178" t="s">
        <v>685</v>
      </c>
      <c r="C272" s="182"/>
      <c r="D272" s="182"/>
      <c r="E272" s="155"/>
      <c r="F272" s="279">
        <f>F274+F273</f>
        <v>2920</v>
      </c>
      <c r="G272" s="279">
        <f>G274+G273</f>
        <v>500</v>
      </c>
      <c r="H272" s="279">
        <f>H274+H273</f>
        <v>250</v>
      </c>
    </row>
    <row r="273" spans="1:8" ht="47.25">
      <c r="A273" s="22" t="s">
        <v>299</v>
      </c>
      <c r="B273" s="178" t="s">
        <v>685</v>
      </c>
      <c r="C273" s="179" t="s">
        <v>616</v>
      </c>
      <c r="D273" s="179" t="s">
        <v>173</v>
      </c>
      <c r="E273" s="155">
        <v>240</v>
      </c>
      <c r="F273" s="279">
        <f>'приложение 5'!Q390</f>
        <v>2200</v>
      </c>
      <c r="G273" s="279">
        <f>'приложение 5'!R390</f>
        <v>0</v>
      </c>
      <c r="H273" s="279">
        <f>'приложение 5'!S390</f>
        <v>0</v>
      </c>
    </row>
    <row r="274" spans="1:8" ht="15.75">
      <c r="A274" s="2" t="s">
        <v>301</v>
      </c>
      <c r="B274" s="178" t="s">
        <v>685</v>
      </c>
      <c r="C274" s="179" t="s">
        <v>616</v>
      </c>
      <c r="D274" s="179" t="s">
        <v>173</v>
      </c>
      <c r="E274" s="155">
        <v>610</v>
      </c>
      <c r="F274" s="279">
        <f>'приложение 5'!Q391</f>
        <v>720</v>
      </c>
      <c r="G274" s="279">
        <f>'приложение 5'!R391</f>
        <v>500</v>
      </c>
      <c r="H274" s="279">
        <f>'приложение 5'!S391</f>
        <v>250</v>
      </c>
    </row>
    <row r="275" spans="1:8" ht="47.25">
      <c r="A275" s="1" t="s">
        <v>553</v>
      </c>
      <c r="B275" s="178" t="s">
        <v>686</v>
      </c>
      <c r="C275" s="182"/>
      <c r="D275" s="182"/>
      <c r="E275" s="155"/>
      <c r="F275" s="279">
        <f>F276</f>
        <v>2295.1</v>
      </c>
      <c r="G275" s="279">
        <f>G276</f>
        <v>0</v>
      </c>
      <c r="H275" s="279">
        <f>H276</f>
        <v>0</v>
      </c>
    </row>
    <row r="276" spans="1:8" ht="15.75">
      <c r="A276" s="8" t="s">
        <v>301</v>
      </c>
      <c r="B276" s="178" t="s">
        <v>686</v>
      </c>
      <c r="C276" s="179" t="s">
        <v>616</v>
      </c>
      <c r="D276" s="182" t="s">
        <v>173</v>
      </c>
      <c r="E276" s="155">
        <v>610</v>
      </c>
      <c r="F276" s="279">
        <f>'приложение 5'!Q393</f>
        <v>2295.1</v>
      </c>
      <c r="G276" s="279">
        <f>'приложение 5'!R393</f>
        <v>0</v>
      </c>
      <c r="H276" s="279">
        <f>'приложение 5'!S393</f>
        <v>0</v>
      </c>
    </row>
    <row r="277" spans="1:8" ht="63">
      <c r="A277" s="134" t="s">
        <v>278</v>
      </c>
      <c r="B277" s="178" t="s">
        <v>687</v>
      </c>
      <c r="C277" s="182"/>
      <c r="D277" s="182"/>
      <c r="E277" s="155"/>
      <c r="F277" s="279">
        <f>F278+F280</f>
        <v>9878.5</v>
      </c>
      <c r="G277" s="279">
        <f>G278+G280</f>
        <v>11775.599999999999</v>
      </c>
      <c r="H277" s="279">
        <f>H278+H280</f>
        <v>12301.6</v>
      </c>
    </row>
    <row r="278" spans="1:8" ht="15.75">
      <c r="A278" s="134" t="s">
        <v>57</v>
      </c>
      <c r="B278" s="178" t="s">
        <v>688</v>
      </c>
      <c r="C278" s="182"/>
      <c r="D278" s="182"/>
      <c r="E278" s="155"/>
      <c r="F278" s="279">
        <f>F279</f>
        <v>6332.7</v>
      </c>
      <c r="G278" s="279">
        <f>G279</f>
        <v>7407.9</v>
      </c>
      <c r="H278" s="279">
        <f>H279</f>
        <v>7476</v>
      </c>
    </row>
    <row r="279" spans="1:8" ht="15.75">
      <c r="A279" s="369" t="s">
        <v>301</v>
      </c>
      <c r="B279" s="178" t="s">
        <v>688</v>
      </c>
      <c r="C279" s="179" t="s">
        <v>616</v>
      </c>
      <c r="D279" s="182" t="s">
        <v>96</v>
      </c>
      <c r="E279" s="155">
        <v>610</v>
      </c>
      <c r="F279" s="279">
        <f>'приложение 5'!Q351</f>
        <v>6332.7</v>
      </c>
      <c r="G279" s="279">
        <f>'приложение 5'!R351</f>
        <v>7407.9</v>
      </c>
      <c r="H279" s="279">
        <f>'приложение 5'!S351</f>
        <v>7476</v>
      </c>
    </row>
    <row r="280" spans="1:8" ht="63">
      <c r="A280" s="134" t="s">
        <v>374</v>
      </c>
      <c r="B280" s="178" t="s">
        <v>689</v>
      </c>
      <c r="C280" s="182"/>
      <c r="D280" s="182"/>
      <c r="E280" s="155"/>
      <c r="F280" s="279">
        <f>F281</f>
        <v>3545.8</v>
      </c>
      <c r="G280" s="279">
        <f>G281</f>
        <v>4367.7</v>
      </c>
      <c r="H280" s="279">
        <f>H281</f>
        <v>4825.6</v>
      </c>
    </row>
    <row r="281" spans="1:8" ht="15.75">
      <c r="A281" s="134" t="s">
        <v>301</v>
      </c>
      <c r="B281" s="178" t="s">
        <v>689</v>
      </c>
      <c r="C281" s="179" t="s">
        <v>616</v>
      </c>
      <c r="D281" s="179" t="s">
        <v>96</v>
      </c>
      <c r="E281" s="155">
        <v>610</v>
      </c>
      <c r="F281" s="279">
        <f>'приложение 5'!Q353</f>
        <v>3545.8</v>
      </c>
      <c r="G281" s="279">
        <f>'приложение 5'!R353</f>
        <v>4367.7</v>
      </c>
      <c r="H281" s="279">
        <f>'приложение 5'!S353</f>
        <v>4825.6</v>
      </c>
    </row>
    <row r="282" spans="1:8" s="205" customFormat="1" ht="63">
      <c r="A282" s="29" t="s">
        <v>526</v>
      </c>
      <c r="B282" s="197" t="s">
        <v>71</v>
      </c>
      <c r="C282" s="204"/>
      <c r="D282" s="204"/>
      <c r="E282" s="197"/>
      <c r="F282" s="291">
        <f>F283+F296+F301+F308</f>
        <v>7258.6</v>
      </c>
      <c r="G282" s="291">
        <f>G283+G296+G301+G308</f>
        <v>7767.1</v>
      </c>
      <c r="H282" s="291">
        <f>H283+H296+H301+H308</f>
        <v>6575.1</v>
      </c>
    </row>
    <row r="283" spans="1:8" ht="31.5">
      <c r="A283" s="176" t="s">
        <v>268</v>
      </c>
      <c r="B283" s="178" t="s">
        <v>690</v>
      </c>
      <c r="C283" s="182"/>
      <c r="D283" s="182"/>
      <c r="E283" s="155"/>
      <c r="F283" s="279">
        <f>F284+F287+F293</f>
        <v>268</v>
      </c>
      <c r="G283" s="279">
        <f>G284+G287+G293</f>
        <v>203.3</v>
      </c>
      <c r="H283" s="279">
        <f>H284+H287+H293</f>
        <v>203.3</v>
      </c>
    </row>
    <row r="284" spans="1:8" ht="78.75">
      <c r="A284" s="176" t="s">
        <v>529</v>
      </c>
      <c r="B284" s="178" t="s">
        <v>691</v>
      </c>
      <c r="C284" s="182"/>
      <c r="D284" s="182"/>
      <c r="E284" s="155"/>
      <c r="F284" s="279">
        <f aca="true" t="shared" si="14" ref="F284:H285">F285</f>
        <v>10</v>
      </c>
      <c r="G284" s="279">
        <f t="shared" si="14"/>
        <v>10</v>
      </c>
      <c r="H284" s="279">
        <f t="shared" si="14"/>
        <v>10</v>
      </c>
    </row>
    <row r="285" spans="1:8" ht="15.75">
      <c r="A285" s="176" t="s">
        <v>530</v>
      </c>
      <c r="B285" s="178" t="s">
        <v>692</v>
      </c>
      <c r="C285" s="182"/>
      <c r="D285" s="182"/>
      <c r="E285" s="155"/>
      <c r="F285" s="279">
        <f t="shared" si="14"/>
        <v>10</v>
      </c>
      <c r="G285" s="279">
        <f t="shared" si="14"/>
        <v>10</v>
      </c>
      <c r="H285" s="279">
        <f t="shared" si="14"/>
        <v>10</v>
      </c>
    </row>
    <row r="286" spans="1:8" ht="47.25">
      <c r="A286" s="2" t="s">
        <v>299</v>
      </c>
      <c r="B286" s="178" t="s">
        <v>692</v>
      </c>
      <c r="C286" s="179" t="s">
        <v>616</v>
      </c>
      <c r="D286" s="182" t="s">
        <v>104</v>
      </c>
      <c r="E286" s="155">
        <v>240</v>
      </c>
      <c r="F286" s="279">
        <f>'приложение 5'!Q134</f>
        <v>10</v>
      </c>
      <c r="G286" s="279">
        <f>'приложение 5'!R134</f>
        <v>10</v>
      </c>
      <c r="H286" s="279">
        <f>'приложение 5'!S134</f>
        <v>10</v>
      </c>
    </row>
    <row r="287" spans="1:8" ht="63">
      <c r="A287" s="176" t="s">
        <v>531</v>
      </c>
      <c r="B287" s="178" t="s">
        <v>693</v>
      </c>
      <c r="C287" s="206"/>
      <c r="D287" s="206"/>
      <c r="E287" s="155"/>
      <c r="F287" s="292">
        <f>F288+F290</f>
        <v>253</v>
      </c>
      <c r="G287" s="292">
        <f>G288+G290</f>
        <v>188.3</v>
      </c>
      <c r="H287" s="292">
        <f>H288+H290</f>
        <v>188.3</v>
      </c>
    </row>
    <row r="288" spans="1:8" ht="31.5">
      <c r="A288" s="8" t="s">
        <v>435</v>
      </c>
      <c r="B288" s="178" t="s">
        <v>694</v>
      </c>
      <c r="C288" s="182"/>
      <c r="D288" s="182"/>
      <c r="E288" s="155"/>
      <c r="F288" s="279">
        <f>F289</f>
        <v>15</v>
      </c>
      <c r="G288" s="279">
        <f>G289</f>
        <v>15</v>
      </c>
      <c r="H288" s="279">
        <f>H289</f>
        <v>15</v>
      </c>
    </row>
    <row r="289" spans="1:8" ht="47.25">
      <c r="A289" s="2" t="s">
        <v>299</v>
      </c>
      <c r="B289" s="178" t="s">
        <v>694</v>
      </c>
      <c r="C289" s="179" t="s">
        <v>616</v>
      </c>
      <c r="D289" s="179" t="s">
        <v>104</v>
      </c>
      <c r="E289" s="155">
        <v>240</v>
      </c>
      <c r="F289" s="279">
        <f>'приложение 5'!Q137</f>
        <v>15</v>
      </c>
      <c r="G289" s="279">
        <f>'приложение 5'!R137</f>
        <v>15</v>
      </c>
      <c r="H289" s="279">
        <f>'приложение 5'!S137</f>
        <v>15</v>
      </c>
    </row>
    <row r="290" spans="1:8" ht="31.5">
      <c r="A290" s="8" t="s">
        <v>297</v>
      </c>
      <c r="B290" s="178" t="s">
        <v>695</v>
      </c>
      <c r="C290" s="182"/>
      <c r="D290" s="182"/>
      <c r="E290" s="155"/>
      <c r="F290" s="279">
        <f>F291+F292</f>
        <v>238</v>
      </c>
      <c r="G290" s="279">
        <f>G291+G292</f>
        <v>173.3</v>
      </c>
      <c r="H290" s="279">
        <f>H291+H292</f>
        <v>173.3</v>
      </c>
    </row>
    <row r="291" spans="1:8" ht="47.25">
      <c r="A291" s="2" t="s">
        <v>299</v>
      </c>
      <c r="B291" s="178" t="s">
        <v>695</v>
      </c>
      <c r="C291" s="179" t="s">
        <v>616</v>
      </c>
      <c r="D291" s="179" t="s">
        <v>406</v>
      </c>
      <c r="E291" s="155">
        <v>240</v>
      </c>
      <c r="F291" s="279">
        <f>'приложение 5'!Q112</f>
        <v>148</v>
      </c>
      <c r="G291" s="279">
        <f>'приложение 5'!R112</f>
        <v>0</v>
      </c>
      <c r="H291" s="279">
        <f>'приложение 5'!S112</f>
        <v>0</v>
      </c>
    </row>
    <row r="292" spans="1:8" ht="47.25">
      <c r="A292" s="2" t="s">
        <v>299</v>
      </c>
      <c r="B292" s="178" t="s">
        <v>695</v>
      </c>
      <c r="C292" s="179" t="s">
        <v>616</v>
      </c>
      <c r="D292" s="182" t="s">
        <v>104</v>
      </c>
      <c r="E292" s="155">
        <v>240</v>
      </c>
      <c r="F292" s="279">
        <f>'приложение 5'!Q139</f>
        <v>90</v>
      </c>
      <c r="G292" s="279">
        <f>'приложение 5'!R139</f>
        <v>173.3</v>
      </c>
      <c r="H292" s="279">
        <f>'приложение 5'!S139</f>
        <v>173.3</v>
      </c>
    </row>
    <row r="293" spans="1:8" ht="47.25">
      <c r="A293" s="8" t="s">
        <v>532</v>
      </c>
      <c r="B293" s="178" t="s">
        <v>696</v>
      </c>
      <c r="C293" s="179"/>
      <c r="D293" s="182"/>
      <c r="E293" s="155"/>
      <c r="F293" s="279">
        <f aca="true" t="shared" si="15" ref="F293:H294">F294</f>
        <v>5</v>
      </c>
      <c r="G293" s="279">
        <f t="shared" si="15"/>
        <v>5</v>
      </c>
      <c r="H293" s="279">
        <f t="shared" si="15"/>
        <v>5</v>
      </c>
    </row>
    <row r="294" spans="1:8" ht="31.5">
      <c r="A294" s="1" t="s">
        <v>464</v>
      </c>
      <c r="B294" s="178" t="s">
        <v>697</v>
      </c>
      <c r="C294" s="179"/>
      <c r="D294" s="182"/>
      <c r="E294" s="155"/>
      <c r="F294" s="279">
        <f t="shared" si="15"/>
        <v>5</v>
      </c>
      <c r="G294" s="279">
        <f t="shared" si="15"/>
        <v>5</v>
      </c>
      <c r="H294" s="279">
        <f t="shared" si="15"/>
        <v>5</v>
      </c>
    </row>
    <row r="295" spans="1:8" ht="47.25">
      <c r="A295" s="2" t="s">
        <v>299</v>
      </c>
      <c r="B295" s="178" t="s">
        <v>697</v>
      </c>
      <c r="C295" s="179" t="s">
        <v>616</v>
      </c>
      <c r="D295" s="179" t="s">
        <v>104</v>
      </c>
      <c r="E295" s="155">
        <v>240</v>
      </c>
      <c r="F295" s="279">
        <f>'приложение 5'!Q142</f>
        <v>5</v>
      </c>
      <c r="G295" s="279">
        <f>'приложение 5'!R142</f>
        <v>5</v>
      </c>
      <c r="H295" s="279">
        <f>'приложение 5'!S142</f>
        <v>5</v>
      </c>
    </row>
    <row r="296" spans="1:8" ht="47.25">
      <c r="A296" s="8" t="s">
        <v>391</v>
      </c>
      <c r="B296" s="178" t="s">
        <v>698</v>
      </c>
      <c r="C296" s="182"/>
      <c r="D296" s="182"/>
      <c r="E296" s="155"/>
      <c r="F296" s="279">
        <f aca="true" t="shared" si="16" ref="F296:H297">F297</f>
        <v>50</v>
      </c>
      <c r="G296" s="279">
        <f t="shared" si="16"/>
        <v>0</v>
      </c>
      <c r="H296" s="279">
        <f t="shared" si="16"/>
        <v>0</v>
      </c>
    </row>
    <row r="297" spans="1:8" ht="47.25">
      <c r="A297" s="8" t="s">
        <v>392</v>
      </c>
      <c r="B297" s="178" t="s">
        <v>699</v>
      </c>
      <c r="C297" s="182"/>
      <c r="D297" s="182"/>
      <c r="E297" s="155"/>
      <c r="F297" s="279">
        <f t="shared" si="16"/>
        <v>50</v>
      </c>
      <c r="G297" s="279">
        <f t="shared" si="16"/>
        <v>0</v>
      </c>
      <c r="H297" s="279">
        <f t="shared" si="16"/>
        <v>0</v>
      </c>
    </row>
    <row r="298" spans="1:8" ht="110.25">
      <c r="A298" s="8" t="s">
        <v>393</v>
      </c>
      <c r="B298" s="178" t="s">
        <v>705</v>
      </c>
      <c r="C298" s="182"/>
      <c r="D298" s="182"/>
      <c r="E298" s="155"/>
      <c r="F298" s="279">
        <f>F299+F300</f>
        <v>50</v>
      </c>
      <c r="G298" s="279">
        <f>G299+G300</f>
        <v>0</v>
      </c>
      <c r="H298" s="279">
        <f>H299+H300</f>
        <v>0</v>
      </c>
    </row>
    <row r="299" spans="1:8" ht="47.25" hidden="1">
      <c r="A299" s="2" t="s">
        <v>299</v>
      </c>
      <c r="B299" s="178" t="s">
        <v>705</v>
      </c>
      <c r="C299" s="179" t="s">
        <v>616</v>
      </c>
      <c r="D299" s="179" t="s">
        <v>104</v>
      </c>
      <c r="E299" s="155">
        <v>240</v>
      </c>
      <c r="F299" s="279">
        <f>'приложение 5'!Q146</f>
        <v>0</v>
      </c>
      <c r="G299" s="279">
        <f>'приложение 5'!R146</f>
        <v>0</v>
      </c>
      <c r="H299" s="279">
        <f>'приложение 5'!S146</f>
        <v>0</v>
      </c>
    </row>
    <row r="300" spans="1:8" ht="15.75">
      <c r="A300" s="8" t="s">
        <v>301</v>
      </c>
      <c r="B300" s="178" t="s">
        <v>705</v>
      </c>
      <c r="C300" s="179" t="s">
        <v>616</v>
      </c>
      <c r="D300" s="179" t="s">
        <v>173</v>
      </c>
      <c r="E300" s="155">
        <v>610</v>
      </c>
      <c r="F300" s="279">
        <f>'приложение 5'!Q397</f>
        <v>50</v>
      </c>
      <c r="G300" s="279">
        <f>'приложение 5'!R397</f>
        <v>0</v>
      </c>
      <c r="H300" s="279">
        <f>'приложение 5'!S397</f>
        <v>0</v>
      </c>
    </row>
    <row r="301" spans="1:8" ht="63">
      <c r="A301" s="8" t="s">
        <v>390</v>
      </c>
      <c r="B301" s="178" t="s">
        <v>700</v>
      </c>
      <c r="C301" s="182"/>
      <c r="D301" s="182"/>
      <c r="E301" s="155"/>
      <c r="F301" s="279">
        <f>F302+F305</f>
        <v>20</v>
      </c>
      <c r="G301" s="279">
        <f>G302+G305</f>
        <v>20</v>
      </c>
      <c r="H301" s="279">
        <f>H302+H305</f>
        <v>20</v>
      </c>
    </row>
    <row r="302" spans="1:8" ht="63">
      <c r="A302" s="1" t="s">
        <v>389</v>
      </c>
      <c r="B302" s="178" t="s">
        <v>702</v>
      </c>
      <c r="C302" s="182"/>
      <c r="D302" s="182"/>
      <c r="E302" s="155"/>
      <c r="F302" s="279">
        <f aca="true" t="shared" si="17" ref="F302:H303">F303</f>
        <v>10</v>
      </c>
      <c r="G302" s="279">
        <f t="shared" si="17"/>
        <v>10</v>
      </c>
      <c r="H302" s="279">
        <f t="shared" si="17"/>
        <v>10</v>
      </c>
    </row>
    <row r="303" spans="1:8" ht="31.5">
      <c r="A303" s="8" t="s">
        <v>388</v>
      </c>
      <c r="B303" s="178" t="s">
        <v>701</v>
      </c>
      <c r="C303" s="182"/>
      <c r="D303" s="182"/>
      <c r="E303" s="155"/>
      <c r="F303" s="279">
        <f t="shared" si="17"/>
        <v>10</v>
      </c>
      <c r="G303" s="279">
        <f t="shared" si="17"/>
        <v>10</v>
      </c>
      <c r="H303" s="279">
        <f t="shared" si="17"/>
        <v>10</v>
      </c>
    </row>
    <row r="304" spans="1:8" ht="47.25">
      <c r="A304" s="2" t="s">
        <v>299</v>
      </c>
      <c r="B304" s="178" t="s">
        <v>701</v>
      </c>
      <c r="C304" s="179" t="s">
        <v>616</v>
      </c>
      <c r="D304" s="182" t="s">
        <v>104</v>
      </c>
      <c r="E304" s="155">
        <v>240</v>
      </c>
      <c r="F304" s="279">
        <f>'приложение 5'!Q150</f>
        <v>10</v>
      </c>
      <c r="G304" s="279">
        <f>'приложение 5'!R150</f>
        <v>10</v>
      </c>
      <c r="H304" s="279">
        <f>'приложение 5'!S150</f>
        <v>10</v>
      </c>
    </row>
    <row r="305" spans="1:8" ht="63">
      <c r="A305" s="1" t="s">
        <v>533</v>
      </c>
      <c r="B305" s="178" t="s">
        <v>703</v>
      </c>
      <c r="C305" s="179"/>
      <c r="D305" s="182"/>
      <c r="E305" s="155"/>
      <c r="F305" s="279">
        <f aca="true" t="shared" si="18" ref="F305:H306">F306</f>
        <v>10</v>
      </c>
      <c r="G305" s="279">
        <f t="shared" si="18"/>
        <v>10</v>
      </c>
      <c r="H305" s="279">
        <f t="shared" si="18"/>
        <v>10</v>
      </c>
    </row>
    <row r="306" spans="1:8" ht="31.5">
      <c r="A306" s="8" t="s">
        <v>534</v>
      </c>
      <c r="B306" s="178" t="s">
        <v>704</v>
      </c>
      <c r="C306" s="179"/>
      <c r="D306" s="182"/>
      <c r="E306" s="155"/>
      <c r="F306" s="279">
        <f t="shared" si="18"/>
        <v>10</v>
      </c>
      <c r="G306" s="279">
        <f t="shared" si="18"/>
        <v>10</v>
      </c>
      <c r="H306" s="279">
        <f t="shared" si="18"/>
        <v>10</v>
      </c>
    </row>
    <row r="307" spans="1:8" ht="47.25">
      <c r="A307" s="2" t="s">
        <v>299</v>
      </c>
      <c r="B307" s="178" t="s">
        <v>704</v>
      </c>
      <c r="C307" s="179" t="s">
        <v>616</v>
      </c>
      <c r="D307" s="179" t="s">
        <v>104</v>
      </c>
      <c r="E307" s="155">
        <v>240</v>
      </c>
      <c r="F307" s="279">
        <f>'приложение 5'!Q153</f>
        <v>10</v>
      </c>
      <c r="G307" s="279">
        <f>'приложение 5'!R153</f>
        <v>10</v>
      </c>
      <c r="H307" s="279">
        <f>'приложение 5'!S153</f>
        <v>10</v>
      </c>
    </row>
    <row r="308" spans="1:8" ht="47.25">
      <c r="A308" s="8" t="s">
        <v>1006</v>
      </c>
      <c r="B308" s="178" t="s">
        <v>706</v>
      </c>
      <c r="C308" s="182"/>
      <c r="D308" s="182"/>
      <c r="E308" s="155"/>
      <c r="F308" s="279">
        <f>F309+F325+F316</f>
        <v>6920.6</v>
      </c>
      <c r="G308" s="279">
        <f>G309+G325+G316</f>
        <v>7543.8</v>
      </c>
      <c r="H308" s="279">
        <f>H309+H325+H316</f>
        <v>6351.8</v>
      </c>
    </row>
    <row r="309" spans="1:8" ht="63">
      <c r="A309" s="8" t="s">
        <v>1007</v>
      </c>
      <c r="B309" s="178" t="s">
        <v>707</v>
      </c>
      <c r="C309" s="182"/>
      <c r="D309" s="182"/>
      <c r="E309" s="155"/>
      <c r="F309" s="279">
        <f>F310+F314</f>
        <v>3134.6000000000004</v>
      </c>
      <c r="G309" s="279">
        <f>G310+G314</f>
        <v>2967.8</v>
      </c>
      <c r="H309" s="279">
        <f>H310+H314</f>
        <v>2966.8</v>
      </c>
    </row>
    <row r="310" spans="1:8" ht="31.5">
      <c r="A310" s="8" t="s">
        <v>62</v>
      </c>
      <c r="B310" s="178" t="s">
        <v>708</v>
      </c>
      <c r="C310" s="182"/>
      <c r="D310" s="182"/>
      <c r="E310" s="155"/>
      <c r="F310" s="279">
        <f>F311+F312+F313</f>
        <v>2003.4</v>
      </c>
      <c r="G310" s="279">
        <f>G311+G312+G313</f>
        <v>1836.6</v>
      </c>
      <c r="H310" s="279">
        <f>H311+H312+H313</f>
        <v>1835.6</v>
      </c>
    </row>
    <row r="311" spans="1:8" ht="31.5">
      <c r="A311" s="8" t="s">
        <v>302</v>
      </c>
      <c r="B311" s="178" t="s">
        <v>708</v>
      </c>
      <c r="C311" s="179" t="s">
        <v>616</v>
      </c>
      <c r="D311" s="179" t="s">
        <v>406</v>
      </c>
      <c r="E311" s="155">
        <v>110</v>
      </c>
      <c r="F311" s="279">
        <f>'приложение 5'!Q116</f>
        <v>1793</v>
      </c>
      <c r="G311" s="279">
        <f>'приложение 5'!R116</f>
        <v>1675.6</v>
      </c>
      <c r="H311" s="279">
        <f>'приложение 5'!S116</f>
        <v>1675.6</v>
      </c>
    </row>
    <row r="312" spans="1:8" ht="47.25">
      <c r="A312" s="2" t="s">
        <v>299</v>
      </c>
      <c r="B312" s="178" t="s">
        <v>708</v>
      </c>
      <c r="C312" s="179" t="s">
        <v>616</v>
      </c>
      <c r="D312" s="179" t="s">
        <v>406</v>
      </c>
      <c r="E312" s="155">
        <v>240</v>
      </c>
      <c r="F312" s="279">
        <f>'приложение 5'!Q117</f>
        <v>210.4</v>
      </c>
      <c r="G312" s="279">
        <f>'приложение 5'!R117</f>
        <v>161</v>
      </c>
      <c r="H312" s="279">
        <f>'приложение 5'!S117</f>
        <v>160</v>
      </c>
    </row>
    <row r="313" spans="1:8" ht="15.75" hidden="1">
      <c r="A313" s="8" t="s">
        <v>300</v>
      </c>
      <c r="B313" s="178" t="s">
        <v>708</v>
      </c>
      <c r="C313" s="179" t="s">
        <v>616</v>
      </c>
      <c r="D313" s="179" t="s">
        <v>406</v>
      </c>
      <c r="E313" s="155">
        <v>850</v>
      </c>
      <c r="F313" s="279">
        <f>'приложение 5'!Q118</f>
        <v>0</v>
      </c>
      <c r="G313" s="279">
        <f>'приложение 5'!R118</f>
        <v>0</v>
      </c>
      <c r="H313" s="279">
        <f>'приложение 5'!S118</f>
        <v>0</v>
      </c>
    </row>
    <row r="314" spans="1:8" ht="63">
      <c r="A314" s="8" t="s">
        <v>374</v>
      </c>
      <c r="B314" s="178" t="s">
        <v>709</v>
      </c>
      <c r="C314" s="179"/>
      <c r="D314" s="179"/>
      <c r="E314" s="155"/>
      <c r="F314" s="279">
        <f>F315</f>
        <v>1131.2</v>
      </c>
      <c r="G314" s="279">
        <f>G315</f>
        <v>1131.2</v>
      </c>
      <c r="H314" s="279">
        <f>H315</f>
        <v>1131.2</v>
      </c>
    </row>
    <row r="315" spans="1:8" ht="31.5">
      <c r="A315" s="8" t="s">
        <v>302</v>
      </c>
      <c r="B315" s="178" t="s">
        <v>709</v>
      </c>
      <c r="C315" s="179" t="s">
        <v>616</v>
      </c>
      <c r="D315" s="179" t="s">
        <v>406</v>
      </c>
      <c r="E315" s="155">
        <v>110</v>
      </c>
      <c r="F315" s="279">
        <f>'приложение 5'!Q120</f>
        <v>1131.2</v>
      </c>
      <c r="G315" s="279">
        <f>'приложение 5'!R120</f>
        <v>1131.2</v>
      </c>
      <c r="H315" s="279">
        <f>'приложение 5'!S120</f>
        <v>1131.2</v>
      </c>
    </row>
    <row r="316" spans="1:8" ht="63">
      <c r="A316" s="8" t="s">
        <v>881</v>
      </c>
      <c r="B316" s="178" t="s">
        <v>882</v>
      </c>
      <c r="C316" s="179"/>
      <c r="D316" s="179"/>
      <c r="E316" s="155"/>
      <c r="F316" s="279">
        <f>F317+F323</f>
        <v>2900</v>
      </c>
      <c r="G316" s="279">
        <f>G317+G323</f>
        <v>4076</v>
      </c>
      <c r="H316" s="279">
        <f>H317+H323</f>
        <v>2885</v>
      </c>
    </row>
    <row r="317" spans="1:8" ht="31.5">
      <c r="A317" s="8" t="s">
        <v>884</v>
      </c>
      <c r="B317" s="178" t="s">
        <v>883</v>
      </c>
      <c r="C317" s="206"/>
      <c r="D317" s="206"/>
      <c r="E317" s="206"/>
      <c r="F317" s="279">
        <f>F319+F321+F322+F320+F318</f>
        <v>2900</v>
      </c>
      <c r="G317" s="279">
        <f>G319+G321+G322+G320+G318</f>
        <v>900</v>
      </c>
      <c r="H317" s="279">
        <f>H319+H321+H322+H320+H318</f>
        <v>900</v>
      </c>
    </row>
    <row r="318" spans="1:8" ht="15.75">
      <c r="A318" s="8" t="str">
        <f>A320</f>
        <v>Субсидии бюджетным учреждениям</v>
      </c>
      <c r="B318" s="178" t="s">
        <v>883</v>
      </c>
      <c r="C318" s="272">
        <v>668</v>
      </c>
      <c r="D318" s="179" t="s">
        <v>885</v>
      </c>
      <c r="E318" s="273" t="s">
        <v>445</v>
      </c>
      <c r="F318" s="279">
        <f>'приложение 5'!Q126</f>
        <v>2000</v>
      </c>
      <c r="G318" s="279">
        <f>'приложение 5'!R126</f>
        <v>0</v>
      </c>
      <c r="H318" s="279">
        <f>'приложение 5'!S126</f>
        <v>0</v>
      </c>
    </row>
    <row r="319" spans="1:8" ht="47.25">
      <c r="A319" s="8" t="str">
        <f>A321</f>
        <v>Иные закупки товаров, работ и услуг для обеспечения государственных (муниципальных) нужд</v>
      </c>
      <c r="B319" s="178" t="s">
        <v>883</v>
      </c>
      <c r="C319" s="272">
        <v>669</v>
      </c>
      <c r="D319" s="179" t="s">
        <v>885</v>
      </c>
      <c r="E319" s="273" t="s">
        <v>445</v>
      </c>
      <c r="F319" s="279">
        <f>'приложение 5'!Q527</f>
        <v>450</v>
      </c>
      <c r="G319" s="279">
        <f>'приложение 5'!R527</f>
        <v>450</v>
      </c>
      <c r="H319" s="279">
        <f>'приложение 5'!S527</f>
        <v>450</v>
      </c>
    </row>
    <row r="320" spans="1:8" ht="15.75">
      <c r="A320" s="134" t="s">
        <v>301</v>
      </c>
      <c r="B320" s="178" t="s">
        <v>883</v>
      </c>
      <c r="C320" s="272">
        <v>669</v>
      </c>
      <c r="D320" s="179" t="s">
        <v>885</v>
      </c>
      <c r="E320" s="273" t="s">
        <v>907</v>
      </c>
      <c r="F320" s="279">
        <f>'приложение 5'!Q528</f>
        <v>100</v>
      </c>
      <c r="G320" s="279">
        <f>'приложение 5'!R528</f>
        <v>100</v>
      </c>
      <c r="H320" s="279">
        <f>'приложение 5'!S528</f>
        <v>100</v>
      </c>
    </row>
    <row r="321" spans="1:8" ht="47.25">
      <c r="A321" s="8" t="str">
        <f>A327</f>
        <v>Иные закупки товаров, работ и услуг для обеспечения государственных (муниципальных) нужд</v>
      </c>
      <c r="B321" s="178" t="s">
        <v>883</v>
      </c>
      <c r="C321" s="179" t="s">
        <v>592</v>
      </c>
      <c r="D321" s="179" t="s">
        <v>885</v>
      </c>
      <c r="E321" s="155">
        <v>240</v>
      </c>
      <c r="F321" s="279">
        <f>'приложение 5'!Q939</f>
        <v>100</v>
      </c>
      <c r="G321" s="279">
        <f>'приложение 5'!R939</f>
        <v>100</v>
      </c>
      <c r="H321" s="279">
        <f>'приложение 5'!S939</f>
        <v>100</v>
      </c>
    </row>
    <row r="322" spans="1:8" ht="47.25">
      <c r="A322" s="8" t="str">
        <f>A321</f>
        <v>Иные закупки товаров, работ и услуг для обеспечения государственных (муниципальных) нужд</v>
      </c>
      <c r="B322" s="178" t="s">
        <v>883</v>
      </c>
      <c r="C322" s="179" t="s">
        <v>745</v>
      </c>
      <c r="D322" s="179" t="s">
        <v>885</v>
      </c>
      <c r="E322" s="155">
        <v>240</v>
      </c>
      <c r="F322" s="279">
        <f>'приложение 5'!Q1033</f>
        <v>250</v>
      </c>
      <c r="G322" s="279">
        <f>'приложение 5'!R1033</f>
        <v>250</v>
      </c>
      <c r="H322" s="279">
        <f>'приложение 5'!S1033</f>
        <v>250</v>
      </c>
    </row>
    <row r="323" spans="1:8" ht="47.25">
      <c r="A323" s="2" t="s">
        <v>1051</v>
      </c>
      <c r="B323" s="178" t="s">
        <v>1052</v>
      </c>
      <c r="C323" s="179"/>
      <c r="D323" s="179"/>
      <c r="E323" s="155"/>
      <c r="F323" s="279">
        <f>F324</f>
        <v>0</v>
      </c>
      <c r="G323" s="279">
        <f>G324</f>
        <v>3176</v>
      </c>
      <c r="H323" s="279">
        <f>H324</f>
        <v>1985</v>
      </c>
    </row>
    <row r="324" spans="1:8" ht="47.25">
      <c r="A324" s="2" t="s">
        <v>299</v>
      </c>
      <c r="B324" s="178" t="s">
        <v>1052</v>
      </c>
      <c r="C324" s="179" t="s">
        <v>616</v>
      </c>
      <c r="D324" s="179" t="s">
        <v>885</v>
      </c>
      <c r="E324" s="155">
        <v>240</v>
      </c>
      <c r="F324" s="279">
        <f>'приложение 5'!Q128</f>
        <v>0</v>
      </c>
      <c r="G324" s="279">
        <f>'приложение 5'!R128</f>
        <v>3176</v>
      </c>
      <c r="H324" s="279">
        <f>'приложение 5'!S128</f>
        <v>1985</v>
      </c>
    </row>
    <row r="325" spans="1:8" ht="63">
      <c r="A325" s="8" t="s">
        <v>528</v>
      </c>
      <c r="B325" s="178" t="s">
        <v>710</v>
      </c>
      <c r="C325" s="179"/>
      <c r="D325" s="179"/>
      <c r="E325" s="155"/>
      <c r="F325" s="279">
        <f aca="true" t="shared" si="19" ref="F325:H326">F326</f>
        <v>886</v>
      </c>
      <c r="G325" s="279">
        <f t="shared" si="19"/>
        <v>500</v>
      </c>
      <c r="H325" s="279">
        <f t="shared" si="19"/>
        <v>500</v>
      </c>
    </row>
    <row r="326" spans="1:8" ht="15.75">
      <c r="A326" s="8" t="s">
        <v>31</v>
      </c>
      <c r="B326" s="178" t="s">
        <v>711</v>
      </c>
      <c r="C326" s="179"/>
      <c r="D326" s="179"/>
      <c r="E326" s="155"/>
      <c r="F326" s="279">
        <f t="shared" si="19"/>
        <v>886</v>
      </c>
      <c r="G326" s="279">
        <f t="shared" si="19"/>
        <v>500</v>
      </c>
      <c r="H326" s="279">
        <f t="shared" si="19"/>
        <v>500</v>
      </c>
    </row>
    <row r="327" spans="1:8" ht="47.25">
      <c r="A327" s="2" t="s">
        <v>299</v>
      </c>
      <c r="B327" s="178" t="s">
        <v>711</v>
      </c>
      <c r="C327" s="179" t="s">
        <v>616</v>
      </c>
      <c r="D327" s="179" t="s">
        <v>87</v>
      </c>
      <c r="E327" s="155">
        <v>240</v>
      </c>
      <c r="F327" s="279">
        <f>'приложение 5'!Q78</f>
        <v>886</v>
      </c>
      <c r="G327" s="279">
        <f>'приложение 5'!R78</f>
        <v>500</v>
      </c>
      <c r="H327" s="279">
        <f>'приложение 5'!S78</f>
        <v>500</v>
      </c>
    </row>
    <row r="328" spans="1:8" s="205" customFormat="1" ht="31.5">
      <c r="A328" s="259" t="s">
        <v>550</v>
      </c>
      <c r="B328" s="197" t="s">
        <v>712</v>
      </c>
      <c r="C328" s="204"/>
      <c r="D328" s="204"/>
      <c r="E328" s="197"/>
      <c r="F328" s="291">
        <f>F329+F333+F337+F341+F344</f>
        <v>2052.6</v>
      </c>
      <c r="G328" s="291">
        <f>G329+G333+G337+G341+G344</f>
        <v>1355.4</v>
      </c>
      <c r="H328" s="291">
        <f>H329+H333+H337+H341+H344</f>
        <v>1291</v>
      </c>
    </row>
    <row r="329" spans="1:8" ht="63">
      <c r="A329" s="1" t="s">
        <v>280</v>
      </c>
      <c r="B329" s="178" t="s">
        <v>1008</v>
      </c>
      <c r="C329" s="182"/>
      <c r="D329" s="182"/>
      <c r="E329" s="155"/>
      <c r="F329" s="279">
        <f>F330</f>
        <v>296</v>
      </c>
      <c r="G329" s="279">
        <f>G330</f>
        <v>159.2</v>
      </c>
      <c r="H329" s="279">
        <f>H330</f>
        <v>160</v>
      </c>
    </row>
    <row r="330" spans="1:8" ht="15.75">
      <c r="A330" s="176" t="s">
        <v>438</v>
      </c>
      <c r="B330" s="178" t="s">
        <v>713</v>
      </c>
      <c r="C330" s="182"/>
      <c r="D330" s="182"/>
      <c r="E330" s="155"/>
      <c r="F330" s="279">
        <f>F331+F332</f>
        <v>296</v>
      </c>
      <c r="G330" s="279">
        <f>G331+G332</f>
        <v>159.2</v>
      </c>
      <c r="H330" s="279">
        <f>H331+H332</f>
        <v>160</v>
      </c>
    </row>
    <row r="331" spans="1:8" ht="47.25" hidden="1">
      <c r="A331" s="2" t="s">
        <v>299</v>
      </c>
      <c r="B331" s="178" t="s">
        <v>713</v>
      </c>
      <c r="C331" s="179" t="s">
        <v>616</v>
      </c>
      <c r="D331" s="179" t="s">
        <v>150</v>
      </c>
      <c r="E331" s="155">
        <v>240</v>
      </c>
      <c r="F331" s="279">
        <v>0</v>
      </c>
      <c r="G331" s="279">
        <f>'приложение 5'!R358</f>
        <v>0</v>
      </c>
      <c r="H331" s="279">
        <f>'приложение 5'!S358</f>
        <v>0</v>
      </c>
    </row>
    <row r="332" spans="1:8" ht="15.75">
      <c r="A332" s="1" t="str">
        <f>A281</f>
        <v>Субсидии бюджетным учреждениям</v>
      </c>
      <c r="B332" s="178" t="s">
        <v>713</v>
      </c>
      <c r="C332" s="179" t="s">
        <v>616</v>
      </c>
      <c r="D332" s="179" t="s">
        <v>150</v>
      </c>
      <c r="E332" s="155">
        <v>610</v>
      </c>
      <c r="F332" s="279">
        <f>'приложение 5'!Q359</f>
        <v>296</v>
      </c>
      <c r="G332" s="279">
        <f>'приложение 5'!R359</f>
        <v>159.2</v>
      </c>
      <c r="H332" s="279">
        <f>'приложение 5'!S359</f>
        <v>160</v>
      </c>
    </row>
    <row r="333" spans="1:8" ht="63">
      <c r="A333" s="1" t="s">
        <v>281</v>
      </c>
      <c r="B333" s="178" t="s">
        <v>714</v>
      </c>
      <c r="C333" s="182"/>
      <c r="D333" s="182"/>
      <c r="E333" s="155"/>
      <c r="F333" s="279">
        <f>F334</f>
        <v>70</v>
      </c>
      <c r="G333" s="279">
        <f>G334</f>
        <v>60</v>
      </c>
      <c r="H333" s="279">
        <f>H334</f>
        <v>60</v>
      </c>
    </row>
    <row r="334" spans="1:8" ht="15.75">
      <c r="A334" s="176" t="s">
        <v>438</v>
      </c>
      <c r="B334" s="178" t="s">
        <v>715</v>
      </c>
      <c r="C334" s="182"/>
      <c r="D334" s="182"/>
      <c r="E334" s="155"/>
      <c r="F334" s="279">
        <f>F335+F336</f>
        <v>70</v>
      </c>
      <c r="G334" s="279">
        <f>G335+G336</f>
        <v>60</v>
      </c>
      <c r="H334" s="279">
        <f>H335+H336</f>
        <v>60</v>
      </c>
    </row>
    <row r="335" spans="1:8" ht="47.25" hidden="1">
      <c r="A335" s="2" t="s">
        <v>299</v>
      </c>
      <c r="B335" s="178" t="s">
        <v>715</v>
      </c>
      <c r="C335" s="179" t="s">
        <v>616</v>
      </c>
      <c r="D335" s="182" t="s">
        <v>150</v>
      </c>
      <c r="E335" s="155">
        <v>240</v>
      </c>
      <c r="F335" s="279">
        <v>0</v>
      </c>
      <c r="G335" s="279">
        <f>'приложение 5'!R362</f>
        <v>0</v>
      </c>
      <c r="H335" s="279">
        <f>'приложение 5'!S362</f>
        <v>0</v>
      </c>
    </row>
    <row r="336" spans="1:8" ht="15.75">
      <c r="A336" s="8" t="str">
        <f>A332</f>
        <v>Субсидии бюджетным учреждениям</v>
      </c>
      <c r="B336" s="178" t="s">
        <v>715</v>
      </c>
      <c r="C336" s="179" t="s">
        <v>616</v>
      </c>
      <c r="D336" s="179" t="s">
        <v>150</v>
      </c>
      <c r="E336" s="155">
        <v>610</v>
      </c>
      <c r="F336" s="279">
        <f>'приложение 5'!Q363</f>
        <v>70</v>
      </c>
      <c r="G336" s="279">
        <f>'приложение 5'!R363</f>
        <v>60</v>
      </c>
      <c r="H336" s="279">
        <f>'приложение 5'!S363</f>
        <v>60</v>
      </c>
    </row>
    <row r="337" spans="1:8" ht="47.25">
      <c r="A337" s="8" t="s">
        <v>551</v>
      </c>
      <c r="B337" s="178" t="s">
        <v>716</v>
      </c>
      <c r="C337" s="182"/>
      <c r="D337" s="182"/>
      <c r="E337" s="155"/>
      <c r="F337" s="279">
        <f>F338</f>
        <v>150</v>
      </c>
      <c r="G337" s="279">
        <f>G338</f>
        <v>100</v>
      </c>
      <c r="H337" s="279">
        <f>H338</f>
        <v>100</v>
      </c>
    </row>
    <row r="338" spans="1:8" ht="15.75">
      <c r="A338" s="176" t="s">
        <v>438</v>
      </c>
      <c r="B338" s="178" t="s">
        <v>717</v>
      </c>
      <c r="C338" s="182"/>
      <c r="D338" s="182"/>
      <c r="E338" s="155"/>
      <c r="F338" s="279">
        <f>F339+F340</f>
        <v>150</v>
      </c>
      <c r="G338" s="279">
        <f>G339+G340</f>
        <v>100</v>
      </c>
      <c r="H338" s="279">
        <f>H339+H340</f>
        <v>100</v>
      </c>
    </row>
    <row r="339" spans="1:8" ht="47.25" hidden="1">
      <c r="A339" s="2" t="s">
        <v>299</v>
      </c>
      <c r="B339" s="178" t="s">
        <v>717</v>
      </c>
      <c r="C339" s="179" t="s">
        <v>616</v>
      </c>
      <c r="D339" s="182" t="s">
        <v>150</v>
      </c>
      <c r="E339" s="155">
        <v>240</v>
      </c>
      <c r="F339" s="279">
        <v>0</v>
      </c>
      <c r="G339" s="279">
        <f>'приложение 5'!R366</f>
        <v>0</v>
      </c>
      <c r="H339" s="279">
        <f>'приложение 5'!S366</f>
        <v>0</v>
      </c>
    </row>
    <row r="340" spans="1:8" ht="15.75">
      <c r="A340" s="2" t="str">
        <f>A336</f>
        <v>Субсидии бюджетным учреждениям</v>
      </c>
      <c r="B340" s="178" t="s">
        <v>717</v>
      </c>
      <c r="C340" s="179" t="s">
        <v>616</v>
      </c>
      <c r="D340" s="179" t="s">
        <v>150</v>
      </c>
      <c r="E340" s="155">
        <v>610</v>
      </c>
      <c r="F340" s="279">
        <f>'приложение 5'!Q367</f>
        <v>150</v>
      </c>
      <c r="G340" s="279">
        <f>'приложение 5'!R367</f>
        <v>100</v>
      </c>
      <c r="H340" s="279">
        <f>'приложение 5'!S367</f>
        <v>100</v>
      </c>
    </row>
    <row r="341" spans="1:8" ht="31.5">
      <c r="A341" s="366" t="s">
        <v>819</v>
      </c>
      <c r="B341" s="178" t="s">
        <v>718</v>
      </c>
      <c r="C341" s="182"/>
      <c r="D341" s="182"/>
      <c r="E341" s="155"/>
      <c r="F341" s="279">
        <f aca="true" t="shared" si="20" ref="F341:H342">F342</f>
        <v>1166.6</v>
      </c>
      <c r="G341" s="279">
        <f t="shared" si="20"/>
        <v>1036.2</v>
      </c>
      <c r="H341" s="279">
        <f t="shared" si="20"/>
        <v>971</v>
      </c>
    </row>
    <row r="342" spans="1:8" ht="31.5">
      <c r="A342" s="369" t="s">
        <v>286</v>
      </c>
      <c r="B342" s="178" t="s">
        <v>719</v>
      </c>
      <c r="C342" s="182"/>
      <c r="D342" s="182"/>
      <c r="E342" s="155"/>
      <c r="F342" s="279">
        <f t="shared" si="20"/>
        <v>1166.6</v>
      </c>
      <c r="G342" s="279">
        <f t="shared" si="20"/>
        <v>1036.2</v>
      </c>
      <c r="H342" s="279">
        <f t="shared" si="20"/>
        <v>971</v>
      </c>
    </row>
    <row r="343" spans="1:8" ht="31.5">
      <c r="A343" s="369" t="s">
        <v>304</v>
      </c>
      <c r="B343" s="178" t="s">
        <v>719</v>
      </c>
      <c r="C343" s="179" t="s">
        <v>616</v>
      </c>
      <c r="D343" s="182" t="s">
        <v>89</v>
      </c>
      <c r="E343" s="155">
        <v>320</v>
      </c>
      <c r="F343" s="279">
        <f>'приложение 5'!Q424</f>
        <v>1166.6</v>
      </c>
      <c r="G343" s="279">
        <f>'приложение 5'!R424</f>
        <v>1036.2</v>
      </c>
      <c r="H343" s="279">
        <f>'приложение 5'!S424</f>
        <v>971</v>
      </c>
    </row>
    <row r="344" spans="1:8" ht="31.5">
      <c r="A344" s="2" t="s">
        <v>1113</v>
      </c>
      <c r="B344" s="178" t="s">
        <v>1114</v>
      </c>
      <c r="C344" s="179"/>
      <c r="D344" s="182"/>
      <c r="E344" s="155"/>
      <c r="F344" s="279">
        <f aca="true" t="shared" si="21" ref="F344:H345">F345</f>
        <v>370</v>
      </c>
      <c r="G344" s="279">
        <f t="shared" si="21"/>
        <v>0</v>
      </c>
      <c r="H344" s="279">
        <f t="shared" si="21"/>
        <v>0</v>
      </c>
    </row>
    <row r="345" spans="1:8" ht="15.75">
      <c r="A345" s="2" t="s">
        <v>1112</v>
      </c>
      <c r="B345" s="178" t="s">
        <v>1115</v>
      </c>
      <c r="C345" s="179"/>
      <c r="D345" s="182"/>
      <c r="E345" s="155"/>
      <c r="F345" s="279">
        <f t="shared" si="21"/>
        <v>370</v>
      </c>
      <c r="G345" s="279">
        <f t="shared" si="21"/>
        <v>0</v>
      </c>
      <c r="H345" s="279">
        <f t="shared" si="21"/>
        <v>0</v>
      </c>
    </row>
    <row r="346" spans="1:8" ht="15.75">
      <c r="A346" s="2" t="s">
        <v>301</v>
      </c>
      <c r="B346" s="178" t="s">
        <v>1115</v>
      </c>
      <c r="C346" s="179" t="s">
        <v>616</v>
      </c>
      <c r="D346" s="179" t="s">
        <v>150</v>
      </c>
      <c r="E346" s="155">
        <v>610</v>
      </c>
      <c r="F346" s="279">
        <f>'приложение 5'!Q370</f>
        <v>370</v>
      </c>
      <c r="G346" s="279">
        <f>'приложение 5'!R370</f>
        <v>0</v>
      </c>
      <c r="H346" s="279">
        <f>'приложение 5'!S370</f>
        <v>0</v>
      </c>
    </row>
    <row r="347" spans="1:8" s="205" customFormat="1" ht="63">
      <c r="A347" s="428" t="s">
        <v>585</v>
      </c>
      <c r="B347" s="197" t="s">
        <v>720</v>
      </c>
      <c r="C347" s="204"/>
      <c r="D347" s="204"/>
      <c r="E347" s="197"/>
      <c r="F347" s="291">
        <f>F348+F351</f>
        <v>130</v>
      </c>
      <c r="G347" s="291">
        <f>G348+G351</f>
        <v>130</v>
      </c>
      <c r="H347" s="291">
        <f>H348+H351</f>
        <v>130</v>
      </c>
    </row>
    <row r="348" spans="1:8" ht="31.5">
      <c r="A348" s="20" t="s">
        <v>586</v>
      </c>
      <c r="B348" s="178" t="s">
        <v>721</v>
      </c>
      <c r="C348" s="182"/>
      <c r="D348" s="182"/>
      <c r="E348" s="155"/>
      <c r="F348" s="279">
        <f aca="true" t="shared" si="22" ref="F348:H349">F349</f>
        <v>60</v>
      </c>
      <c r="G348" s="279">
        <f t="shared" si="22"/>
        <v>60</v>
      </c>
      <c r="H348" s="279">
        <f t="shared" si="22"/>
        <v>60</v>
      </c>
    </row>
    <row r="349" spans="1:8" ht="31.5">
      <c r="A349" s="20" t="s">
        <v>385</v>
      </c>
      <c r="B349" s="178" t="s">
        <v>722</v>
      </c>
      <c r="C349" s="182"/>
      <c r="D349" s="182"/>
      <c r="E349" s="155"/>
      <c r="F349" s="279">
        <f t="shared" si="22"/>
        <v>60</v>
      </c>
      <c r="G349" s="279">
        <f t="shared" si="22"/>
        <v>60</v>
      </c>
      <c r="H349" s="279">
        <f t="shared" si="22"/>
        <v>60</v>
      </c>
    </row>
    <row r="350" spans="1:8" ht="47.25">
      <c r="A350" s="2" t="s">
        <v>299</v>
      </c>
      <c r="B350" s="178" t="s">
        <v>722</v>
      </c>
      <c r="C350" s="179" t="s">
        <v>596</v>
      </c>
      <c r="D350" s="179" t="s">
        <v>93</v>
      </c>
      <c r="E350" s="155">
        <v>240</v>
      </c>
      <c r="F350" s="279">
        <f>'приложение 5'!Q896</f>
        <v>60</v>
      </c>
      <c r="G350" s="279">
        <f>'приложение 5'!R896</f>
        <v>60</v>
      </c>
      <c r="H350" s="279">
        <f>'приложение 5'!S896</f>
        <v>60</v>
      </c>
    </row>
    <row r="351" spans="1:8" ht="78.75">
      <c r="A351" s="20" t="s">
        <v>386</v>
      </c>
      <c r="B351" s="178" t="s">
        <v>723</v>
      </c>
      <c r="C351" s="182"/>
      <c r="D351" s="182"/>
      <c r="E351" s="155"/>
      <c r="F351" s="279">
        <f>F352</f>
        <v>70</v>
      </c>
      <c r="G351" s="279">
        <f>G352</f>
        <v>70</v>
      </c>
      <c r="H351" s="279">
        <f>H352</f>
        <v>70</v>
      </c>
    </row>
    <row r="352" spans="1:8" ht="31.5">
      <c r="A352" s="20" t="s">
        <v>387</v>
      </c>
      <c r="B352" s="178" t="s">
        <v>724</v>
      </c>
      <c r="C352" s="182"/>
      <c r="D352" s="182"/>
      <c r="E352" s="155"/>
      <c r="F352" s="279">
        <f>F353+F354</f>
        <v>70</v>
      </c>
      <c r="G352" s="279">
        <f>G353+G354</f>
        <v>70</v>
      </c>
      <c r="H352" s="279">
        <f>H353+H354</f>
        <v>70</v>
      </c>
    </row>
    <row r="353" spans="1:8" ht="15.75" hidden="1">
      <c r="A353" s="2" t="s">
        <v>301</v>
      </c>
      <c r="B353" s="178" t="s">
        <v>724</v>
      </c>
      <c r="C353" s="179" t="s">
        <v>596</v>
      </c>
      <c r="D353" s="179" t="s">
        <v>95</v>
      </c>
      <c r="E353" s="155">
        <v>610</v>
      </c>
      <c r="F353" s="279">
        <f>'приложение 5'!Q816</f>
        <v>0</v>
      </c>
      <c r="G353" s="279">
        <f>'приложение 5'!R816</f>
        <v>0</v>
      </c>
      <c r="H353" s="279">
        <f>'приложение 5'!S816</f>
        <v>0</v>
      </c>
    </row>
    <row r="354" spans="1:8" ht="47.25">
      <c r="A354" s="2" t="s">
        <v>299</v>
      </c>
      <c r="B354" s="178" t="s">
        <v>724</v>
      </c>
      <c r="C354" s="179" t="s">
        <v>596</v>
      </c>
      <c r="D354" s="182" t="s">
        <v>93</v>
      </c>
      <c r="E354" s="155">
        <v>240</v>
      </c>
      <c r="F354" s="279">
        <f>'приложение 5'!Q899</f>
        <v>70</v>
      </c>
      <c r="G354" s="279">
        <f>'приложение 5'!R899</f>
        <v>70</v>
      </c>
      <c r="H354" s="279">
        <f>'приложение 5'!S899</f>
        <v>70</v>
      </c>
    </row>
    <row r="355" spans="1:8" s="205" customFormat="1" ht="47.25">
      <c r="A355" s="259" t="s">
        <v>539</v>
      </c>
      <c r="B355" s="197" t="s">
        <v>725</v>
      </c>
      <c r="C355" s="204"/>
      <c r="D355" s="204"/>
      <c r="E355" s="197"/>
      <c r="F355" s="291">
        <f>F356+F366</f>
        <v>4076.5</v>
      </c>
      <c r="G355" s="291">
        <f>G356+G366</f>
        <v>1507.7999999999997</v>
      </c>
      <c r="H355" s="291">
        <f>H356+H366</f>
        <v>1507.7999999999997</v>
      </c>
    </row>
    <row r="356" spans="1:8" ht="47.25">
      <c r="A356" s="12" t="s">
        <v>820</v>
      </c>
      <c r="B356" s="178" t="s">
        <v>726</v>
      </c>
      <c r="C356" s="182"/>
      <c r="D356" s="182"/>
      <c r="E356" s="155"/>
      <c r="F356" s="279">
        <f>F357+F362+F364+F360</f>
        <v>3996.5</v>
      </c>
      <c r="G356" s="279">
        <f>G357+G362+G364+G360</f>
        <v>1427.7999999999997</v>
      </c>
      <c r="H356" s="279">
        <f>H357+H362+H364+H360</f>
        <v>1427.7999999999997</v>
      </c>
    </row>
    <row r="357" spans="1:8" ht="47.25">
      <c r="A357" s="12" t="s">
        <v>5</v>
      </c>
      <c r="B357" s="178" t="s">
        <v>727</v>
      </c>
      <c r="C357" s="182"/>
      <c r="D357" s="182"/>
      <c r="E357" s="155"/>
      <c r="F357" s="279">
        <f>F358+F359</f>
        <v>30</v>
      </c>
      <c r="G357" s="279">
        <f>G358+G359</f>
        <v>30</v>
      </c>
      <c r="H357" s="279">
        <f>H358+H359</f>
        <v>30</v>
      </c>
    </row>
    <row r="358" spans="1:8" ht="47.25">
      <c r="A358" s="2" t="s">
        <v>299</v>
      </c>
      <c r="B358" s="178" t="s">
        <v>727</v>
      </c>
      <c r="C358" s="179" t="s">
        <v>616</v>
      </c>
      <c r="D358" s="182" t="s">
        <v>97</v>
      </c>
      <c r="E358" s="155">
        <v>240</v>
      </c>
      <c r="F358" s="279">
        <f>'приложение 5'!Q214</f>
        <v>10</v>
      </c>
      <c r="G358" s="279">
        <f>'приложение 5'!R214</f>
        <v>10</v>
      </c>
      <c r="H358" s="279">
        <f>'приложение 5'!S214</f>
        <v>10</v>
      </c>
    </row>
    <row r="359" spans="1:8" ht="63">
      <c r="A359" s="2" t="s">
        <v>359</v>
      </c>
      <c r="B359" s="178" t="s">
        <v>727</v>
      </c>
      <c r="C359" s="179" t="s">
        <v>616</v>
      </c>
      <c r="D359" s="182" t="s">
        <v>97</v>
      </c>
      <c r="E359" s="155">
        <v>810</v>
      </c>
      <c r="F359" s="279">
        <f>'приложение 5'!Q215</f>
        <v>20</v>
      </c>
      <c r="G359" s="279">
        <f>'приложение 5'!R215</f>
        <v>20</v>
      </c>
      <c r="H359" s="279">
        <f>'приложение 5'!S215</f>
        <v>20</v>
      </c>
    </row>
    <row r="360" spans="1:8" ht="63">
      <c r="A360" s="2" t="s">
        <v>1107</v>
      </c>
      <c r="B360" s="178" t="s">
        <v>1108</v>
      </c>
      <c r="C360" s="179"/>
      <c r="D360" s="182"/>
      <c r="E360" s="155"/>
      <c r="F360" s="279">
        <f>F361</f>
        <v>2499</v>
      </c>
      <c r="G360" s="279">
        <f>G361</f>
        <v>0</v>
      </c>
      <c r="H360" s="279">
        <f>H361</f>
        <v>0</v>
      </c>
    </row>
    <row r="361" spans="1:8" ht="47.25">
      <c r="A361" s="2" t="s">
        <v>299</v>
      </c>
      <c r="B361" s="178" t="s">
        <v>1108</v>
      </c>
      <c r="C361" s="179" t="s">
        <v>616</v>
      </c>
      <c r="D361" s="179" t="s">
        <v>97</v>
      </c>
      <c r="E361" s="155">
        <v>240</v>
      </c>
      <c r="F361" s="279">
        <f>'приложение 5'!Q217</f>
        <v>2499</v>
      </c>
      <c r="G361" s="279">
        <f>'приложение 5'!R217</f>
        <v>0</v>
      </c>
      <c r="H361" s="279">
        <f>'приложение 5'!S217</f>
        <v>0</v>
      </c>
    </row>
    <row r="362" spans="1:8" ht="31.5">
      <c r="A362" s="2" t="s">
        <v>358</v>
      </c>
      <c r="B362" s="178" t="s">
        <v>728</v>
      </c>
      <c r="C362" s="182"/>
      <c r="D362" s="182"/>
      <c r="E362" s="155"/>
      <c r="F362" s="279">
        <f>F363</f>
        <v>426.1</v>
      </c>
      <c r="G362" s="279">
        <f>G363</f>
        <v>356.4</v>
      </c>
      <c r="H362" s="279">
        <f>H363</f>
        <v>356.4</v>
      </c>
    </row>
    <row r="363" spans="1:8" ht="63">
      <c r="A363" s="2" t="s">
        <v>359</v>
      </c>
      <c r="B363" s="178" t="s">
        <v>728</v>
      </c>
      <c r="C363" s="179" t="s">
        <v>616</v>
      </c>
      <c r="D363" s="182" t="s">
        <v>97</v>
      </c>
      <c r="E363" s="155">
        <v>810</v>
      </c>
      <c r="F363" s="279">
        <f>'приложение 5'!Q219</f>
        <v>426.1</v>
      </c>
      <c r="G363" s="279">
        <f>'приложение 5'!R219</f>
        <v>356.4</v>
      </c>
      <c r="H363" s="279">
        <f>'приложение 5'!S219</f>
        <v>356.4</v>
      </c>
    </row>
    <row r="364" spans="1:8" ht="47.25">
      <c r="A364" s="2" t="s">
        <v>1054</v>
      </c>
      <c r="B364" s="178" t="s">
        <v>1055</v>
      </c>
      <c r="C364" s="179"/>
      <c r="D364" s="182"/>
      <c r="E364" s="155"/>
      <c r="F364" s="279">
        <f>F365</f>
        <v>1041.3999999999999</v>
      </c>
      <c r="G364" s="279">
        <f>G365</f>
        <v>1041.3999999999999</v>
      </c>
      <c r="H364" s="279">
        <f>H365</f>
        <v>1041.3999999999999</v>
      </c>
    </row>
    <row r="365" spans="1:8" ht="63">
      <c r="A365" s="2" t="s">
        <v>359</v>
      </c>
      <c r="B365" s="178" t="s">
        <v>1055</v>
      </c>
      <c r="C365" s="179" t="s">
        <v>616</v>
      </c>
      <c r="D365" s="179" t="s">
        <v>97</v>
      </c>
      <c r="E365" s="155">
        <v>810</v>
      </c>
      <c r="F365" s="279">
        <f>'приложение 5'!Q221</f>
        <v>1041.3999999999999</v>
      </c>
      <c r="G365" s="279">
        <f>'приложение 5'!R221</f>
        <v>1041.3999999999999</v>
      </c>
      <c r="H365" s="279">
        <f>'приложение 5'!S221</f>
        <v>1041.3999999999999</v>
      </c>
    </row>
    <row r="366" spans="1:8" ht="47.25">
      <c r="A366" s="2" t="s">
        <v>498</v>
      </c>
      <c r="B366" s="178" t="s">
        <v>729</v>
      </c>
      <c r="C366" s="182"/>
      <c r="D366" s="182"/>
      <c r="E366" s="155"/>
      <c r="F366" s="279">
        <f aca="true" t="shared" si="23" ref="F366:H367">F367</f>
        <v>80</v>
      </c>
      <c r="G366" s="279">
        <f t="shared" si="23"/>
        <v>80</v>
      </c>
      <c r="H366" s="279">
        <f t="shared" si="23"/>
        <v>80</v>
      </c>
    </row>
    <row r="367" spans="1:8" ht="31.5">
      <c r="A367" s="2" t="s">
        <v>7</v>
      </c>
      <c r="B367" s="178" t="s">
        <v>730</v>
      </c>
      <c r="C367" s="182"/>
      <c r="D367" s="182"/>
      <c r="E367" s="155"/>
      <c r="F367" s="279">
        <f t="shared" si="23"/>
        <v>80</v>
      </c>
      <c r="G367" s="279">
        <f t="shared" si="23"/>
        <v>80</v>
      </c>
      <c r="H367" s="279">
        <f t="shared" si="23"/>
        <v>80</v>
      </c>
    </row>
    <row r="368" spans="1:8" ht="47.25">
      <c r="A368" s="2" t="s">
        <v>299</v>
      </c>
      <c r="B368" s="178" t="s">
        <v>730</v>
      </c>
      <c r="C368" s="179" t="s">
        <v>616</v>
      </c>
      <c r="D368" s="182" t="s">
        <v>97</v>
      </c>
      <c r="E368" s="155">
        <v>240</v>
      </c>
      <c r="F368" s="279">
        <f>'приложение 5'!Q224</f>
        <v>80</v>
      </c>
      <c r="G368" s="279">
        <f>'приложение 5'!R224</f>
        <v>80</v>
      </c>
      <c r="H368" s="279">
        <f>'приложение 5'!S224</f>
        <v>80</v>
      </c>
    </row>
    <row r="369" spans="1:8" s="205" customFormat="1" ht="63">
      <c r="A369" s="259" t="s">
        <v>546</v>
      </c>
      <c r="B369" s="197" t="s">
        <v>731</v>
      </c>
      <c r="C369" s="204"/>
      <c r="D369" s="204"/>
      <c r="E369" s="197"/>
      <c r="F369" s="291">
        <f>F370+F384</f>
        <v>19064</v>
      </c>
      <c r="G369" s="291">
        <f>G370+G384</f>
        <v>630</v>
      </c>
      <c r="H369" s="291">
        <f>H370+H384</f>
        <v>620</v>
      </c>
    </row>
    <row r="370" spans="1:8" ht="47.25">
      <c r="A370" s="22" t="s">
        <v>1093</v>
      </c>
      <c r="B370" s="178" t="s">
        <v>732</v>
      </c>
      <c r="C370" s="179"/>
      <c r="D370" s="179"/>
      <c r="E370" s="178"/>
      <c r="F370" s="279">
        <f>F371+F374+F380+F376+F378+F382</f>
        <v>13706.199999999999</v>
      </c>
      <c r="G370" s="279">
        <f>G371+G374+G380+G376+G378</f>
        <v>630</v>
      </c>
      <c r="H370" s="279">
        <f>H371+H374+H380+H376+H378</f>
        <v>620</v>
      </c>
    </row>
    <row r="371" spans="1:8" ht="31.5">
      <c r="A371" s="22" t="s">
        <v>547</v>
      </c>
      <c r="B371" s="178" t="s">
        <v>733</v>
      </c>
      <c r="C371" s="182"/>
      <c r="D371" s="182"/>
      <c r="E371" s="155"/>
      <c r="F371" s="279">
        <f>F372+F373</f>
        <v>8730.8</v>
      </c>
      <c r="G371" s="279">
        <f>G372+G373</f>
        <v>0</v>
      </c>
      <c r="H371" s="279">
        <f>H372+H373</f>
        <v>0</v>
      </c>
    </row>
    <row r="372" spans="1:8" ht="47.25" hidden="1">
      <c r="A372" s="2" t="s">
        <v>299</v>
      </c>
      <c r="B372" s="178" t="s">
        <v>733</v>
      </c>
      <c r="C372" s="179" t="s">
        <v>616</v>
      </c>
      <c r="D372" s="182" t="s">
        <v>158</v>
      </c>
      <c r="E372" s="155">
        <v>240</v>
      </c>
      <c r="F372" s="279">
        <f>'приложение 5'!Q278</f>
        <v>0</v>
      </c>
      <c r="G372" s="279">
        <f>'приложение 5'!R278</f>
        <v>0</v>
      </c>
      <c r="H372" s="279">
        <f>'приложение 5'!S278</f>
        <v>0</v>
      </c>
    </row>
    <row r="373" spans="1:8" ht="47.25">
      <c r="A373" s="2" t="s">
        <v>299</v>
      </c>
      <c r="B373" s="178" t="s">
        <v>733</v>
      </c>
      <c r="C373" s="179" t="s">
        <v>735</v>
      </c>
      <c r="D373" s="179" t="s">
        <v>158</v>
      </c>
      <c r="E373" s="155">
        <v>240</v>
      </c>
      <c r="F373" s="279">
        <f>'приложение 5'!Q592</f>
        <v>8730.8</v>
      </c>
      <c r="G373" s="279">
        <v>0</v>
      </c>
      <c r="H373" s="279">
        <v>0</v>
      </c>
    </row>
    <row r="374" spans="1:8" ht="31.5">
      <c r="A374" s="8" t="s">
        <v>565</v>
      </c>
      <c r="B374" s="178" t="s">
        <v>734</v>
      </c>
      <c r="C374" s="179"/>
      <c r="D374" s="182"/>
      <c r="E374" s="155"/>
      <c r="F374" s="279">
        <f>F375</f>
        <v>120</v>
      </c>
      <c r="G374" s="279">
        <f>G375</f>
        <v>130</v>
      </c>
      <c r="H374" s="279">
        <f>H375</f>
        <v>120</v>
      </c>
    </row>
    <row r="375" spans="1:8" ht="47.25">
      <c r="A375" s="2" t="s">
        <v>299</v>
      </c>
      <c r="B375" s="178" t="s">
        <v>734</v>
      </c>
      <c r="C375" s="179" t="s">
        <v>735</v>
      </c>
      <c r="D375" s="179" t="s">
        <v>158</v>
      </c>
      <c r="E375" s="155">
        <v>240</v>
      </c>
      <c r="F375" s="279">
        <f>'приложение 5'!Q590</f>
        <v>120</v>
      </c>
      <c r="G375" s="279">
        <f>'приложение 5'!R590</f>
        <v>130</v>
      </c>
      <c r="H375" s="279">
        <f>'приложение 5'!S590</f>
        <v>120</v>
      </c>
    </row>
    <row r="376" spans="1:8" ht="31.5" hidden="1">
      <c r="A376" s="8" t="s">
        <v>569</v>
      </c>
      <c r="B376" s="178" t="s">
        <v>948</v>
      </c>
      <c r="C376" s="179"/>
      <c r="D376" s="179"/>
      <c r="E376" s="155"/>
      <c r="F376" s="279">
        <f>F377</f>
        <v>0</v>
      </c>
      <c r="G376" s="279">
        <f>G377</f>
        <v>0</v>
      </c>
      <c r="H376" s="279">
        <f>H377</f>
        <v>0</v>
      </c>
    </row>
    <row r="377" spans="1:8" ht="47.25" hidden="1">
      <c r="A377" s="2" t="s">
        <v>299</v>
      </c>
      <c r="B377" s="178" t="s">
        <v>948</v>
      </c>
      <c r="C377" s="179" t="s">
        <v>735</v>
      </c>
      <c r="D377" s="179" t="s">
        <v>158</v>
      </c>
      <c r="E377" s="155">
        <v>240</v>
      </c>
      <c r="F377" s="279">
        <f>'приложение 5'!Q594</f>
        <v>0</v>
      </c>
      <c r="G377" s="279">
        <f>'приложение 5'!R594</f>
        <v>0</v>
      </c>
      <c r="H377" s="279">
        <f>'приложение 5'!S594</f>
        <v>0</v>
      </c>
    </row>
    <row r="378" spans="1:8" ht="31.5">
      <c r="A378" s="8" t="s">
        <v>979</v>
      </c>
      <c r="B378" s="178" t="s">
        <v>981</v>
      </c>
      <c r="C378" s="179"/>
      <c r="D378" s="182"/>
      <c r="E378" s="155"/>
      <c r="F378" s="279">
        <f>F379</f>
        <v>4355.4</v>
      </c>
      <c r="G378" s="279">
        <f>G379</f>
        <v>0</v>
      </c>
      <c r="H378" s="279">
        <f>H379</f>
        <v>0</v>
      </c>
    </row>
    <row r="379" spans="1:8" ht="47.25">
      <c r="A379" s="2" t="s">
        <v>299</v>
      </c>
      <c r="B379" s="178" t="s">
        <v>981</v>
      </c>
      <c r="C379" s="179" t="s">
        <v>735</v>
      </c>
      <c r="D379" s="179" t="s">
        <v>158</v>
      </c>
      <c r="E379" s="155">
        <v>240</v>
      </c>
      <c r="F379" s="279">
        <f>'приложение 5'!Q596</f>
        <v>4355.4</v>
      </c>
      <c r="G379" s="279">
        <f>'приложение 5'!R596</f>
        <v>0</v>
      </c>
      <c r="H379" s="279">
        <f>'приложение 5'!S596</f>
        <v>0</v>
      </c>
    </row>
    <row r="380" spans="1:8" ht="31.5">
      <c r="A380" s="8" t="s">
        <v>566</v>
      </c>
      <c r="B380" s="178" t="s">
        <v>736</v>
      </c>
      <c r="C380" s="179"/>
      <c r="D380" s="182"/>
      <c r="E380" s="155"/>
      <c r="F380" s="279">
        <f>F381</f>
        <v>500</v>
      </c>
      <c r="G380" s="279">
        <f>G381</f>
        <v>500</v>
      </c>
      <c r="H380" s="279">
        <f>H381</f>
        <v>500</v>
      </c>
    </row>
    <row r="381" spans="1:8" ht="47.25">
      <c r="A381" s="2" t="s">
        <v>299</v>
      </c>
      <c r="B381" s="178" t="s">
        <v>736</v>
      </c>
      <c r="C381" s="179" t="s">
        <v>735</v>
      </c>
      <c r="D381" s="179" t="s">
        <v>158</v>
      </c>
      <c r="E381" s="155">
        <v>240</v>
      </c>
      <c r="F381" s="279">
        <f>'приложение 5'!Q598</f>
        <v>500</v>
      </c>
      <c r="G381" s="279">
        <f>'приложение 5'!R598</f>
        <v>500</v>
      </c>
      <c r="H381" s="279">
        <f>'приложение 5'!S598</f>
        <v>500</v>
      </c>
    </row>
    <row r="382" spans="1:8" ht="15.75" hidden="1">
      <c r="A382" s="8" t="s">
        <v>1018</v>
      </c>
      <c r="B382" s="178" t="s">
        <v>736</v>
      </c>
      <c r="C382" s="179"/>
      <c r="D382" s="179"/>
      <c r="E382" s="155"/>
      <c r="F382" s="279">
        <f>F383</f>
        <v>0</v>
      </c>
      <c r="G382" s="279">
        <f>G383</f>
        <v>0</v>
      </c>
      <c r="H382" s="279">
        <f>H383</f>
        <v>0</v>
      </c>
    </row>
    <row r="383" spans="1:8" ht="47.25" hidden="1">
      <c r="A383" s="8" t="s">
        <v>299</v>
      </c>
      <c r="B383" s="178" t="s">
        <v>1019</v>
      </c>
      <c r="C383" s="179" t="s">
        <v>735</v>
      </c>
      <c r="D383" s="179" t="s">
        <v>158</v>
      </c>
      <c r="E383" s="155">
        <v>240</v>
      </c>
      <c r="F383" s="279">
        <f>'приложение 5'!Q600</f>
        <v>0</v>
      </c>
      <c r="G383" s="279">
        <f>'приложение 5'!R600</f>
        <v>0</v>
      </c>
      <c r="H383" s="279">
        <f>'приложение 5'!S600</f>
        <v>0</v>
      </c>
    </row>
    <row r="384" spans="1:8" ht="31.5">
      <c r="A384" s="2" t="s">
        <v>1059</v>
      </c>
      <c r="B384" s="178" t="s">
        <v>1095</v>
      </c>
      <c r="C384" s="179"/>
      <c r="D384" s="179"/>
      <c r="E384" s="155"/>
      <c r="F384" s="279">
        <f>F386</f>
        <v>5357.8</v>
      </c>
      <c r="G384" s="279">
        <f>G386</f>
        <v>0</v>
      </c>
      <c r="H384" s="279">
        <f>H386</f>
        <v>0</v>
      </c>
    </row>
    <row r="385" spans="1:8" ht="15.75">
      <c r="A385" s="2" t="s">
        <v>1018</v>
      </c>
      <c r="B385" s="178" t="s">
        <v>1094</v>
      </c>
      <c r="C385" s="179"/>
      <c r="D385" s="179"/>
      <c r="E385" s="155"/>
      <c r="F385" s="279"/>
      <c r="G385" s="279"/>
      <c r="H385" s="279"/>
    </row>
    <row r="386" spans="1:8" ht="47.25">
      <c r="A386" s="2" t="s">
        <v>299</v>
      </c>
      <c r="B386" s="178" t="s">
        <v>1094</v>
      </c>
      <c r="C386" s="179" t="s">
        <v>735</v>
      </c>
      <c r="D386" s="179" t="s">
        <v>158</v>
      </c>
      <c r="E386" s="155">
        <v>240</v>
      </c>
      <c r="F386" s="279">
        <f>'приложение 5'!Q603</f>
        <v>5357.8</v>
      </c>
      <c r="G386" s="279">
        <f>'приложение 5'!R603</f>
        <v>0</v>
      </c>
      <c r="H386" s="279">
        <f>'приложение 5'!S603</f>
        <v>0</v>
      </c>
    </row>
    <row r="387" spans="1:8" s="205" customFormat="1" ht="78.75">
      <c r="A387" s="29" t="s">
        <v>535</v>
      </c>
      <c r="B387" s="197" t="s">
        <v>737</v>
      </c>
      <c r="C387" s="204"/>
      <c r="D387" s="204"/>
      <c r="E387" s="197"/>
      <c r="F387" s="291">
        <f>F388+F394+F398+F405+F409+F413+F416</f>
        <v>147460.6</v>
      </c>
      <c r="G387" s="291">
        <f>G388+G394+G398+G405+G409+G413+G416</f>
        <v>19875.8</v>
      </c>
      <c r="H387" s="291">
        <f>H388+H394+H398+H405+H409+H413+H416</f>
        <v>20743.8</v>
      </c>
    </row>
    <row r="388" spans="1:8" ht="31.5">
      <c r="A388" s="8" t="s">
        <v>274</v>
      </c>
      <c r="B388" s="178" t="s">
        <v>738</v>
      </c>
      <c r="C388" s="182"/>
      <c r="D388" s="182"/>
      <c r="E388" s="155"/>
      <c r="F388" s="279">
        <f>F389+F391</f>
        <v>105816.3</v>
      </c>
      <c r="G388" s="279">
        <f>G389+G391</f>
        <v>0</v>
      </c>
      <c r="H388" s="279">
        <f>H389+H391</f>
        <v>0</v>
      </c>
    </row>
    <row r="389" spans="1:8" ht="15.75" hidden="1">
      <c r="A389" s="8" t="s">
        <v>536</v>
      </c>
      <c r="B389" s="178" t="s">
        <v>739</v>
      </c>
      <c r="C389" s="182"/>
      <c r="D389" s="182"/>
      <c r="E389" s="155"/>
      <c r="F389" s="279">
        <f>SUM(F390:F390)</f>
        <v>0</v>
      </c>
      <c r="G389" s="279">
        <f>SUM(G390:G390)</f>
        <v>0</v>
      </c>
      <c r="H389" s="279">
        <f>SUM(H390:H390)</f>
        <v>0</v>
      </c>
    </row>
    <row r="390" spans="1:8" ht="47.25" hidden="1">
      <c r="A390" s="2" t="s">
        <v>299</v>
      </c>
      <c r="B390" s="178" t="s">
        <v>739</v>
      </c>
      <c r="C390" s="179" t="s">
        <v>616</v>
      </c>
      <c r="D390" s="182" t="s">
        <v>90</v>
      </c>
      <c r="E390" s="155">
        <v>240</v>
      </c>
      <c r="F390" s="279">
        <f>'приложение 5'!Q166</f>
        <v>0</v>
      </c>
      <c r="G390" s="279">
        <f>'приложение 5'!R166</f>
        <v>0</v>
      </c>
      <c r="H390" s="279">
        <f>'приложение 5'!S166</f>
        <v>0</v>
      </c>
    </row>
    <row r="391" spans="1:8" ht="47.25">
      <c r="A391" s="8" t="s">
        <v>313</v>
      </c>
      <c r="B391" s="178" t="s">
        <v>832</v>
      </c>
      <c r="C391" s="179"/>
      <c r="D391" s="182"/>
      <c r="E391" s="155"/>
      <c r="F391" s="279">
        <f>F392+F393</f>
        <v>105816.3</v>
      </c>
      <c r="G391" s="279">
        <f>G392+G393</f>
        <v>0</v>
      </c>
      <c r="H391" s="279">
        <f>H392+H393</f>
        <v>0</v>
      </c>
    </row>
    <row r="392" spans="1:8" ht="47.25" hidden="1">
      <c r="A392" s="2" t="s">
        <v>299</v>
      </c>
      <c r="B392" s="178" t="s">
        <v>832</v>
      </c>
      <c r="C392" s="179" t="s">
        <v>616</v>
      </c>
      <c r="D392" s="179" t="s">
        <v>90</v>
      </c>
      <c r="E392" s="155">
        <v>240</v>
      </c>
      <c r="F392" s="279">
        <f>'приложение 5'!Q168</f>
        <v>0</v>
      </c>
      <c r="G392" s="279">
        <f>'приложение 5'!R168</f>
        <v>0</v>
      </c>
      <c r="H392" s="279">
        <f>'приложение 5'!S168</f>
        <v>0</v>
      </c>
    </row>
    <row r="393" spans="1:8" ht="47.25">
      <c r="A393" s="2" t="s">
        <v>299</v>
      </c>
      <c r="B393" s="178" t="s">
        <v>832</v>
      </c>
      <c r="C393" s="179" t="s">
        <v>735</v>
      </c>
      <c r="D393" s="179" t="s">
        <v>90</v>
      </c>
      <c r="E393" s="155">
        <v>240</v>
      </c>
      <c r="F393" s="279">
        <f>'приложение 5'!Q539</f>
        <v>105816.3</v>
      </c>
      <c r="G393" s="279">
        <f>'приложение 5'!R539</f>
        <v>0</v>
      </c>
      <c r="H393" s="279">
        <f>'приложение 5'!S539</f>
        <v>0</v>
      </c>
    </row>
    <row r="394" spans="1:8" ht="47.25">
      <c r="A394" s="422" t="s">
        <v>1106</v>
      </c>
      <c r="B394" s="178" t="s">
        <v>740</v>
      </c>
      <c r="C394" s="182"/>
      <c r="D394" s="182"/>
      <c r="E394" s="155"/>
      <c r="F394" s="279">
        <f>F395</f>
        <v>100</v>
      </c>
      <c r="G394" s="279">
        <f>G395</f>
        <v>0</v>
      </c>
      <c r="H394" s="279">
        <f>H395</f>
        <v>0</v>
      </c>
    </row>
    <row r="395" spans="1:8" ht="15.75">
      <c r="A395" s="22" t="s">
        <v>320</v>
      </c>
      <c r="B395" s="178" t="s">
        <v>741</v>
      </c>
      <c r="C395" s="182"/>
      <c r="D395" s="182"/>
      <c r="E395" s="155"/>
      <c r="F395" s="279">
        <f>F396+F397</f>
        <v>100</v>
      </c>
      <c r="G395" s="279">
        <f>G396+G397</f>
        <v>0</v>
      </c>
      <c r="H395" s="279">
        <f>H396+H397</f>
        <v>0</v>
      </c>
    </row>
    <row r="396" spans="1:8" ht="47.25" hidden="1">
      <c r="A396" s="2" t="s">
        <v>299</v>
      </c>
      <c r="B396" s="178" t="s">
        <v>741</v>
      </c>
      <c r="C396" s="179" t="s">
        <v>742</v>
      </c>
      <c r="D396" s="182" t="s">
        <v>90</v>
      </c>
      <c r="E396" s="155">
        <v>240</v>
      </c>
      <c r="F396" s="279">
        <f>'приложение 5'!Q719</f>
        <v>0</v>
      </c>
      <c r="G396" s="279">
        <f>'приложение 5'!R719</f>
        <v>0</v>
      </c>
      <c r="H396" s="279">
        <f>'приложение 5'!S719</f>
        <v>0</v>
      </c>
    </row>
    <row r="397" spans="1:8" ht="47.25">
      <c r="A397" s="2" t="s">
        <v>299</v>
      </c>
      <c r="B397" s="178" t="s">
        <v>741</v>
      </c>
      <c r="C397" s="179" t="s">
        <v>616</v>
      </c>
      <c r="D397" s="182" t="s">
        <v>90</v>
      </c>
      <c r="E397" s="155">
        <v>240</v>
      </c>
      <c r="F397" s="279">
        <f>'приложение 5'!Q171</f>
        <v>100</v>
      </c>
      <c r="G397" s="279">
        <f>'приложение 5'!R171</f>
        <v>0</v>
      </c>
      <c r="H397" s="279">
        <f>'приложение 5'!S171</f>
        <v>0</v>
      </c>
    </row>
    <row r="398" spans="1:8" ht="47.25">
      <c r="A398" s="8" t="s">
        <v>333</v>
      </c>
      <c r="B398" s="178" t="s">
        <v>743</v>
      </c>
      <c r="C398" s="182"/>
      <c r="D398" s="182"/>
      <c r="E398" s="155"/>
      <c r="F398" s="279">
        <f>F399</f>
        <v>22149.6</v>
      </c>
      <c r="G398" s="279">
        <f>G399</f>
        <v>18663.8</v>
      </c>
      <c r="H398" s="279">
        <f>H399</f>
        <v>19531.8</v>
      </c>
    </row>
    <row r="399" spans="1:8" ht="15.75">
      <c r="A399" s="2" t="s">
        <v>320</v>
      </c>
      <c r="B399" s="178" t="s">
        <v>744</v>
      </c>
      <c r="C399" s="182"/>
      <c r="D399" s="182"/>
      <c r="E399" s="155"/>
      <c r="F399" s="279">
        <f>F400+F401+F403+F404+F402</f>
        <v>22149.6</v>
      </c>
      <c r="G399" s="279">
        <f>G400+G401+G403+G404+G402</f>
        <v>18663.8</v>
      </c>
      <c r="H399" s="279">
        <f>H400+H401+H403+H404+H402</f>
        <v>19531.8</v>
      </c>
    </row>
    <row r="400" spans="1:8" ht="47.25">
      <c r="A400" s="2" t="s">
        <v>299</v>
      </c>
      <c r="B400" s="178" t="s">
        <v>744</v>
      </c>
      <c r="C400" s="179" t="s">
        <v>616</v>
      </c>
      <c r="D400" s="182" t="s">
        <v>90</v>
      </c>
      <c r="E400" s="155">
        <v>240</v>
      </c>
      <c r="F400" s="279">
        <f>'приложение 5'!Q172</f>
        <v>9791.599999999999</v>
      </c>
      <c r="G400" s="279">
        <f>'приложение 5'!R172</f>
        <v>10403.3</v>
      </c>
      <c r="H400" s="279">
        <f>'приложение 5'!S172</f>
        <v>11271.3</v>
      </c>
    </row>
    <row r="401" spans="1:8" ht="47.25">
      <c r="A401" s="2" t="s">
        <v>299</v>
      </c>
      <c r="B401" s="178" t="s">
        <v>744</v>
      </c>
      <c r="C401" s="179" t="s">
        <v>735</v>
      </c>
      <c r="D401" s="182" t="s">
        <v>90</v>
      </c>
      <c r="E401" s="155">
        <v>240</v>
      </c>
      <c r="F401" s="279">
        <f>'приложение 5'!Q542</f>
        <v>422.5</v>
      </c>
      <c r="G401" s="279">
        <f>'приложение 5'!R542</f>
        <v>4660.5</v>
      </c>
      <c r="H401" s="279">
        <f>'приложение 5'!S542</f>
        <v>4660.5</v>
      </c>
    </row>
    <row r="402" spans="1:8" ht="15.75">
      <c r="A402" s="2" t="s">
        <v>301</v>
      </c>
      <c r="B402" s="178" t="s">
        <v>744</v>
      </c>
      <c r="C402" s="179" t="s">
        <v>735</v>
      </c>
      <c r="D402" s="179" t="s">
        <v>90</v>
      </c>
      <c r="E402" s="155">
        <v>610</v>
      </c>
      <c r="F402" s="279">
        <f>'приложение 5'!Q543</f>
        <v>7435.5</v>
      </c>
      <c r="G402" s="279">
        <f>'приложение 5'!R543</f>
        <v>0</v>
      </c>
      <c r="H402" s="279">
        <f>'приложение 5'!S543</f>
        <v>0</v>
      </c>
    </row>
    <row r="403" spans="1:8" ht="47.25">
      <c r="A403" s="2" t="s">
        <v>299</v>
      </c>
      <c r="B403" s="178" t="s">
        <v>744</v>
      </c>
      <c r="C403" s="179" t="s">
        <v>592</v>
      </c>
      <c r="D403" s="179" t="s">
        <v>90</v>
      </c>
      <c r="E403" s="155">
        <v>240</v>
      </c>
      <c r="F403" s="279">
        <f>'приложение 5'!Q945</f>
        <v>2100</v>
      </c>
      <c r="G403" s="279">
        <f>'приложение 5'!R945</f>
        <v>1700</v>
      </c>
      <c r="H403" s="279">
        <f>'приложение 5'!S945</f>
        <v>1700</v>
      </c>
    </row>
    <row r="404" spans="1:8" ht="47.25">
      <c r="A404" s="2" t="s">
        <v>299</v>
      </c>
      <c r="B404" s="178" t="s">
        <v>744</v>
      </c>
      <c r="C404" s="179" t="s">
        <v>745</v>
      </c>
      <c r="D404" s="179" t="s">
        <v>90</v>
      </c>
      <c r="E404" s="155">
        <v>240</v>
      </c>
      <c r="F404" s="279">
        <f>'приложение 5'!Q1039</f>
        <v>2400</v>
      </c>
      <c r="G404" s="279">
        <f>'приложение 5'!R1039</f>
        <v>1900</v>
      </c>
      <c r="H404" s="279">
        <f>'приложение 5'!S1039</f>
        <v>1900</v>
      </c>
    </row>
    <row r="405" spans="1:8" ht="47.25">
      <c r="A405" s="2" t="s">
        <v>465</v>
      </c>
      <c r="B405" s="178" t="s">
        <v>746</v>
      </c>
      <c r="C405" s="182"/>
      <c r="D405" s="182"/>
      <c r="E405" s="155"/>
      <c r="F405" s="279">
        <f>F406</f>
        <v>912</v>
      </c>
      <c r="G405" s="279">
        <f>G406</f>
        <v>912</v>
      </c>
      <c r="H405" s="279">
        <f>H406</f>
        <v>912</v>
      </c>
    </row>
    <row r="406" spans="1:8" ht="78.75">
      <c r="A406" s="2" t="s">
        <v>16</v>
      </c>
      <c r="B406" s="178" t="s">
        <v>747</v>
      </c>
      <c r="C406" s="182"/>
      <c r="D406" s="182"/>
      <c r="E406" s="155"/>
      <c r="F406" s="279">
        <f>F407+F408</f>
        <v>912</v>
      </c>
      <c r="G406" s="279">
        <f>G407+G408</f>
        <v>912</v>
      </c>
      <c r="H406" s="279">
        <f>H407+H408</f>
        <v>912</v>
      </c>
    </row>
    <row r="407" spans="1:8" ht="47.25" hidden="1">
      <c r="A407" s="2" t="s">
        <v>299</v>
      </c>
      <c r="B407" s="178" t="s">
        <v>747</v>
      </c>
      <c r="C407" s="179" t="s">
        <v>616</v>
      </c>
      <c r="D407" s="179" t="s">
        <v>90</v>
      </c>
      <c r="E407" s="155">
        <v>240</v>
      </c>
      <c r="F407" s="279">
        <f>'приложение 5'!Q177</f>
        <v>0</v>
      </c>
      <c r="G407" s="279">
        <f>'приложение 5'!R177</f>
        <v>0</v>
      </c>
      <c r="H407" s="279">
        <f>'приложение 5'!S177</f>
        <v>0</v>
      </c>
    </row>
    <row r="408" spans="1:8" ht="47.25">
      <c r="A408" s="2" t="s">
        <v>299</v>
      </c>
      <c r="B408" s="178" t="s">
        <v>747</v>
      </c>
      <c r="C408" s="179" t="s">
        <v>735</v>
      </c>
      <c r="D408" s="179" t="s">
        <v>90</v>
      </c>
      <c r="E408" s="155">
        <v>240</v>
      </c>
      <c r="F408" s="279">
        <f>'приложение 5'!Q546</f>
        <v>912</v>
      </c>
      <c r="G408" s="279">
        <f>'приложение 5'!R546</f>
        <v>912</v>
      </c>
      <c r="H408" s="279">
        <f>'приложение 5'!S546</f>
        <v>912</v>
      </c>
    </row>
    <row r="409" spans="1:8" ht="94.5">
      <c r="A409" s="8" t="s">
        <v>466</v>
      </c>
      <c r="B409" s="178" t="s">
        <v>748</v>
      </c>
      <c r="C409" s="182"/>
      <c r="D409" s="182"/>
      <c r="E409" s="155"/>
      <c r="F409" s="279">
        <f>F410</f>
        <v>186</v>
      </c>
      <c r="G409" s="279">
        <f>G410</f>
        <v>0</v>
      </c>
      <c r="H409" s="279">
        <f>H410</f>
        <v>0</v>
      </c>
    </row>
    <row r="410" spans="1:8" ht="15.75">
      <c r="A410" s="8" t="s">
        <v>320</v>
      </c>
      <c r="B410" s="178" t="s">
        <v>925</v>
      </c>
      <c r="C410" s="182"/>
      <c r="D410" s="182"/>
      <c r="E410" s="155"/>
      <c r="F410" s="279">
        <f>F412+F411</f>
        <v>186</v>
      </c>
      <c r="G410" s="279">
        <f>G412+G411</f>
        <v>0</v>
      </c>
      <c r="H410" s="279">
        <f>H412+H411</f>
        <v>0</v>
      </c>
    </row>
    <row r="411" spans="1:8" ht="47.25">
      <c r="A411" s="2" t="s">
        <v>299</v>
      </c>
      <c r="B411" s="178" t="s">
        <v>925</v>
      </c>
      <c r="C411" s="179" t="s">
        <v>616</v>
      </c>
      <c r="D411" s="179" t="s">
        <v>90</v>
      </c>
      <c r="E411" s="155">
        <v>240</v>
      </c>
      <c r="F411" s="279">
        <f>'приложение 5'!Q179</f>
        <v>10</v>
      </c>
      <c r="G411" s="279">
        <f>'приложение 5'!R179</f>
        <v>0</v>
      </c>
      <c r="H411" s="279">
        <f>'приложение 5'!S179</f>
        <v>0</v>
      </c>
    </row>
    <row r="412" spans="1:8" ht="47.25">
      <c r="A412" s="2" t="s">
        <v>299</v>
      </c>
      <c r="B412" s="178" t="s">
        <v>925</v>
      </c>
      <c r="C412" s="179" t="s">
        <v>735</v>
      </c>
      <c r="D412" s="179" t="s">
        <v>90</v>
      </c>
      <c r="E412" s="155">
        <v>240</v>
      </c>
      <c r="F412" s="279">
        <f>'приложение 5'!Q549</f>
        <v>176</v>
      </c>
      <c r="G412" s="279">
        <f>'приложение 5'!R549</f>
        <v>0</v>
      </c>
      <c r="H412" s="279">
        <f>'приложение 5'!S549</f>
        <v>0</v>
      </c>
    </row>
    <row r="413" spans="1:8" ht="31.5">
      <c r="A413" s="8" t="s">
        <v>988</v>
      </c>
      <c r="B413" s="178" t="s">
        <v>989</v>
      </c>
      <c r="C413" s="182"/>
      <c r="D413" s="182"/>
      <c r="E413" s="155"/>
      <c r="F413" s="279">
        <f aca="true" t="shared" si="24" ref="F413:H414">F414</f>
        <v>200</v>
      </c>
      <c r="G413" s="279">
        <f t="shared" si="24"/>
        <v>300</v>
      </c>
      <c r="H413" s="279">
        <f t="shared" si="24"/>
        <v>300</v>
      </c>
    </row>
    <row r="414" spans="1:8" ht="15.75">
      <c r="A414" s="8" t="s">
        <v>320</v>
      </c>
      <c r="B414" s="178" t="s">
        <v>990</v>
      </c>
      <c r="C414" s="182"/>
      <c r="D414" s="182"/>
      <c r="E414" s="155"/>
      <c r="F414" s="279">
        <f t="shared" si="24"/>
        <v>200</v>
      </c>
      <c r="G414" s="279">
        <f t="shared" si="24"/>
        <v>300</v>
      </c>
      <c r="H414" s="279">
        <f t="shared" si="24"/>
        <v>300</v>
      </c>
    </row>
    <row r="415" spans="1:8" ht="47.25">
      <c r="A415" s="2" t="s">
        <v>299</v>
      </c>
      <c r="B415" s="178" t="s">
        <v>990</v>
      </c>
      <c r="C415" s="179" t="s">
        <v>616</v>
      </c>
      <c r="D415" s="179" t="s">
        <v>90</v>
      </c>
      <c r="E415" s="155">
        <v>240</v>
      </c>
      <c r="F415" s="279">
        <f>'приложение 5'!Q183</f>
        <v>200</v>
      </c>
      <c r="G415" s="279">
        <f>'приложение 5'!R183</f>
        <v>300</v>
      </c>
      <c r="H415" s="279">
        <f>'приложение 5'!S183</f>
        <v>300</v>
      </c>
    </row>
    <row r="416" spans="1:8" ht="47.25">
      <c r="A416" s="2" t="s">
        <v>1013</v>
      </c>
      <c r="B416" s="178" t="s">
        <v>1015</v>
      </c>
      <c r="C416" s="179"/>
      <c r="D416" s="179"/>
      <c r="E416" s="155"/>
      <c r="F416" s="279">
        <f aca="true" t="shared" si="25" ref="F416:H417">F417</f>
        <v>18096.7</v>
      </c>
      <c r="G416" s="279">
        <f t="shared" si="25"/>
        <v>0</v>
      </c>
      <c r="H416" s="279">
        <f t="shared" si="25"/>
        <v>0</v>
      </c>
    </row>
    <row r="417" spans="1:8" ht="31.5">
      <c r="A417" s="2" t="s">
        <v>1014</v>
      </c>
      <c r="B417" s="178" t="s">
        <v>1016</v>
      </c>
      <c r="C417" s="179"/>
      <c r="D417" s="179"/>
      <c r="E417" s="155"/>
      <c r="F417" s="279">
        <f t="shared" si="25"/>
        <v>18096.7</v>
      </c>
      <c r="G417" s="279">
        <f t="shared" si="25"/>
        <v>0</v>
      </c>
      <c r="H417" s="279">
        <f t="shared" si="25"/>
        <v>0</v>
      </c>
    </row>
    <row r="418" spans="1:8" ht="47.25">
      <c r="A418" s="2" t="s">
        <v>299</v>
      </c>
      <c r="B418" s="178" t="s">
        <v>1016</v>
      </c>
      <c r="C418" s="179" t="s">
        <v>616</v>
      </c>
      <c r="D418" s="179" t="s">
        <v>90</v>
      </c>
      <c r="E418" s="155">
        <v>240</v>
      </c>
      <c r="F418" s="279">
        <f>'приложение 5'!Q186</f>
        <v>18096.7</v>
      </c>
      <c r="G418" s="279">
        <f>'приложение 5'!R186</f>
        <v>0</v>
      </c>
      <c r="H418" s="279">
        <f>'приложение 5'!S186</f>
        <v>0</v>
      </c>
    </row>
    <row r="419" spans="1:8" ht="63">
      <c r="A419" s="80" t="s">
        <v>580</v>
      </c>
      <c r="B419" s="197" t="s">
        <v>749</v>
      </c>
      <c r="C419" s="204"/>
      <c r="D419" s="204"/>
      <c r="E419" s="197"/>
      <c r="F419" s="291">
        <f>F420+F423+F426+F430+F438</f>
        <v>8499.3</v>
      </c>
      <c r="G419" s="291">
        <f>G420+G423+G426+G430+G438</f>
        <v>9063.6</v>
      </c>
      <c r="H419" s="291">
        <f>H420+H423+H426+H430+H438</f>
        <v>9033.1</v>
      </c>
    </row>
    <row r="420" spans="1:8" ht="47.25">
      <c r="A420" s="8" t="s">
        <v>417</v>
      </c>
      <c r="B420" s="178" t="s">
        <v>752</v>
      </c>
      <c r="C420" s="182"/>
      <c r="D420" s="182"/>
      <c r="E420" s="155"/>
      <c r="F420" s="279">
        <f aca="true" t="shared" si="26" ref="F420:H421">F421</f>
        <v>646.5</v>
      </c>
      <c r="G420" s="279">
        <f t="shared" si="26"/>
        <v>426.5</v>
      </c>
      <c r="H420" s="279">
        <f t="shared" si="26"/>
        <v>426.5</v>
      </c>
    </row>
    <row r="421" spans="1:8" ht="15.75">
      <c r="A421" s="8" t="s">
        <v>74</v>
      </c>
      <c r="B421" s="178" t="s">
        <v>753</v>
      </c>
      <c r="C421" s="182"/>
      <c r="D421" s="182"/>
      <c r="E421" s="155"/>
      <c r="F421" s="279">
        <f t="shared" si="26"/>
        <v>646.5</v>
      </c>
      <c r="G421" s="279">
        <f t="shared" si="26"/>
        <v>426.5</v>
      </c>
      <c r="H421" s="279">
        <f t="shared" si="26"/>
        <v>426.5</v>
      </c>
    </row>
    <row r="422" spans="1:8" ht="47.25">
      <c r="A422" s="8" t="s">
        <v>299</v>
      </c>
      <c r="B422" s="178" t="s">
        <v>753</v>
      </c>
      <c r="C422" s="179" t="s">
        <v>742</v>
      </c>
      <c r="D422" s="179" t="s">
        <v>87</v>
      </c>
      <c r="E422" s="155">
        <v>240</v>
      </c>
      <c r="F422" s="279">
        <f>'приложение 5'!Q695</f>
        <v>646.5</v>
      </c>
      <c r="G422" s="279">
        <f>'приложение 5'!R695</f>
        <v>426.5</v>
      </c>
      <c r="H422" s="279">
        <f>'приложение 5'!S695</f>
        <v>426.5</v>
      </c>
    </row>
    <row r="423" spans="1:8" ht="47.25">
      <c r="A423" s="8" t="s">
        <v>418</v>
      </c>
      <c r="B423" s="178" t="s">
        <v>754</v>
      </c>
      <c r="C423" s="182"/>
      <c r="D423" s="182"/>
      <c r="E423" s="155"/>
      <c r="F423" s="279">
        <f aca="true" t="shared" si="27" ref="F423:H424">F424</f>
        <v>56</v>
      </c>
      <c r="G423" s="279">
        <f t="shared" si="27"/>
        <v>80</v>
      </c>
      <c r="H423" s="279">
        <f t="shared" si="27"/>
        <v>80</v>
      </c>
    </row>
    <row r="424" spans="1:8" ht="47.25">
      <c r="A424" s="8" t="s">
        <v>419</v>
      </c>
      <c r="B424" s="178" t="s">
        <v>755</v>
      </c>
      <c r="C424" s="182"/>
      <c r="D424" s="182"/>
      <c r="E424" s="155"/>
      <c r="F424" s="279">
        <f t="shared" si="27"/>
        <v>56</v>
      </c>
      <c r="G424" s="279">
        <f t="shared" si="27"/>
        <v>80</v>
      </c>
      <c r="H424" s="279">
        <f t="shared" si="27"/>
        <v>80</v>
      </c>
    </row>
    <row r="425" spans="1:8" ht="47.25">
      <c r="A425" s="8" t="s">
        <v>299</v>
      </c>
      <c r="B425" s="178" t="s">
        <v>755</v>
      </c>
      <c r="C425" s="179" t="s">
        <v>742</v>
      </c>
      <c r="D425" s="179" t="s">
        <v>87</v>
      </c>
      <c r="E425" s="155">
        <v>240</v>
      </c>
      <c r="F425" s="279">
        <f>'приложение 5'!Q698</f>
        <v>56</v>
      </c>
      <c r="G425" s="279">
        <f>'приложение 5'!R698</f>
        <v>80</v>
      </c>
      <c r="H425" s="279">
        <f>'приложение 5'!S698</f>
        <v>80</v>
      </c>
    </row>
    <row r="426" spans="1:8" ht="63" hidden="1">
      <c r="A426" s="2" t="s">
        <v>758</v>
      </c>
      <c r="B426" s="178" t="s">
        <v>756</v>
      </c>
      <c r="C426" s="182"/>
      <c r="D426" s="182"/>
      <c r="E426" s="155"/>
      <c r="F426" s="279">
        <f>F427</f>
        <v>0</v>
      </c>
      <c r="G426" s="279">
        <f>G427</f>
        <v>0</v>
      </c>
      <c r="H426" s="279">
        <f>H427</f>
        <v>0</v>
      </c>
    </row>
    <row r="427" spans="1:8" ht="47.25" hidden="1">
      <c r="A427" s="22" t="s">
        <v>759</v>
      </c>
      <c r="B427" s="178" t="s">
        <v>757</v>
      </c>
      <c r="C427" s="182"/>
      <c r="D427" s="182"/>
      <c r="E427" s="155"/>
      <c r="F427" s="279">
        <f>F428+F429</f>
        <v>0</v>
      </c>
      <c r="G427" s="279">
        <f>G428+G429</f>
        <v>0</v>
      </c>
      <c r="H427" s="279">
        <f>H428+H429</f>
        <v>0</v>
      </c>
    </row>
    <row r="428" spans="1:8" ht="47.25" hidden="1">
      <c r="A428" s="2" t="s">
        <v>299</v>
      </c>
      <c r="B428" s="178" t="s">
        <v>757</v>
      </c>
      <c r="C428" s="179" t="s">
        <v>742</v>
      </c>
      <c r="D428" s="179" t="s">
        <v>87</v>
      </c>
      <c r="E428" s="155">
        <v>240</v>
      </c>
      <c r="F428" s="279">
        <f>'приложение 5'!Q701</f>
        <v>0</v>
      </c>
      <c r="G428" s="279">
        <f>'приложение 5'!R701</f>
        <v>0</v>
      </c>
      <c r="H428" s="279">
        <f>'приложение 5'!S701</f>
        <v>0</v>
      </c>
    </row>
    <row r="429" spans="1:8" ht="15.75" hidden="1">
      <c r="A429" s="8" t="s">
        <v>300</v>
      </c>
      <c r="B429" s="178" t="s">
        <v>757</v>
      </c>
      <c r="C429" s="179" t="s">
        <v>742</v>
      </c>
      <c r="D429" s="179" t="s">
        <v>87</v>
      </c>
      <c r="E429" s="155">
        <v>850</v>
      </c>
      <c r="F429" s="279">
        <f>'приложение 5'!Q702</f>
        <v>0</v>
      </c>
      <c r="G429" s="279">
        <f>'приложение 5'!R702</f>
        <v>0</v>
      </c>
      <c r="H429" s="279">
        <f>'приложение 5'!S702</f>
        <v>0</v>
      </c>
    </row>
    <row r="430" spans="1:8" ht="31.5">
      <c r="A430" s="8" t="s">
        <v>421</v>
      </c>
      <c r="B430" s="178" t="s">
        <v>760</v>
      </c>
      <c r="C430" s="182"/>
      <c r="D430" s="182"/>
      <c r="E430" s="155"/>
      <c r="F430" s="279">
        <f>F431+F436</f>
        <v>5960.6</v>
      </c>
      <c r="G430" s="279">
        <f>G431+G436</f>
        <v>6098.5</v>
      </c>
      <c r="H430" s="279">
        <f>H431+H436</f>
        <v>6068</v>
      </c>
    </row>
    <row r="431" spans="1:8" ht="31.5">
      <c r="A431" s="8" t="s">
        <v>60</v>
      </c>
      <c r="B431" s="178" t="s">
        <v>761</v>
      </c>
      <c r="C431" s="182"/>
      <c r="D431" s="182"/>
      <c r="E431" s="155"/>
      <c r="F431" s="279">
        <f>F432+F433+F434+F435</f>
        <v>3564.8</v>
      </c>
      <c r="G431" s="279">
        <f>G432+G433+G434+G435</f>
        <v>3702.7</v>
      </c>
      <c r="H431" s="279">
        <f>H432+H433+H434+H435</f>
        <v>3672.2</v>
      </c>
    </row>
    <row r="432" spans="1:8" ht="31.5">
      <c r="A432" s="8" t="s">
        <v>204</v>
      </c>
      <c r="B432" s="178" t="s">
        <v>761</v>
      </c>
      <c r="C432" s="179" t="s">
        <v>742</v>
      </c>
      <c r="D432" s="179" t="s">
        <v>87</v>
      </c>
      <c r="E432" s="155">
        <v>120</v>
      </c>
      <c r="F432" s="279">
        <f>'приложение 5'!Q705</f>
        <v>3372.8</v>
      </c>
      <c r="G432" s="279">
        <f>'приложение 5'!R705</f>
        <v>3548.7</v>
      </c>
      <c r="H432" s="279">
        <f>'приложение 5'!S705</f>
        <v>3548.7</v>
      </c>
    </row>
    <row r="433" spans="1:8" ht="47.25">
      <c r="A433" s="8" t="s">
        <v>299</v>
      </c>
      <c r="B433" s="178" t="s">
        <v>761</v>
      </c>
      <c r="C433" s="179" t="s">
        <v>742</v>
      </c>
      <c r="D433" s="179" t="s">
        <v>87</v>
      </c>
      <c r="E433" s="155">
        <v>240</v>
      </c>
      <c r="F433" s="279">
        <f>'приложение 5'!Q706</f>
        <v>191.9</v>
      </c>
      <c r="G433" s="279">
        <f>'приложение 5'!R706</f>
        <v>154</v>
      </c>
      <c r="H433" s="279">
        <f>'приложение 5'!S706</f>
        <v>123.5</v>
      </c>
    </row>
    <row r="434" spans="1:8" ht="15.75" hidden="1">
      <c r="A434" s="2" t="s">
        <v>306</v>
      </c>
      <c r="B434" s="178" t="s">
        <v>761</v>
      </c>
      <c r="C434" s="179" t="s">
        <v>742</v>
      </c>
      <c r="D434" s="179" t="s">
        <v>87</v>
      </c>
      <c r="E434" s="155">
        <v>830</v>
      </c>
      <c r="F434" s="279">
        <f>'приложение 5'!Q707</f>
        <v>0</v>
      </c>
      <c r="G434" s="279">
        <f>'приложение 5'!R707</f>
        <v>0</v>
      </c>
      <c r="H434" s="279">
        <f>'приложение 5'!S707</f>
        <v>0</v>
      </c>
    </row>
    <row r="435" spans="1:8" ht="15.75">
      <c r="A435" s="2" t="s">
        <v>300</v>
      </c>
      <c r="B435" s="178" t="s">
        <v>761</v>
      </c>
      <c r="C435" s="179" t="s">
        <v>742</v>
      </c>
      <c r="D435" s="179" t="s">
        <v>87</v>
      </c>
      <c r="E435" s="155">
        <v>850</v>
      </c>
      <c r="F435" s="279">
        <f>'приложение 5'!Q708</f>
        <v>0.1</v>
      </c>
      <c r="G435" s="279">
        <f>'приложение 5'!R708</f>
        <v>0</v>
      </c>
      <c r="H435" s="279">
        <f>'приложение 5'!S708</f>
        <v>0</v>
      </c>
    </row>
    <row r="436" spans="1:8" ht="63">
      <c r="A436" s="8" t="s">
        <v>374</v>
      </c>
      <c r="B436" s="178" t="s">
        <v>762</v>
      </c>
      <c r="C436" s="182"/>
      <c r="D436" s="182"/>
      <c r="E436" s="155"/>
      <c r="F436" s="279">
        <f>F437</f>
        <v>2395.8</v>
      </c>
      <c r="G436" s="279">
        <f>G437</f>
        <v>2395.8</v>
      </c>
      <c r="H436" s="279">
        <f>H437</f>
        <v>2395.8</v>
      </c>
    </row>
    <row r="437" spans="1:8" ht="31.5">
      <c r="A437" s="8" t="s">
        <v>204</v>
      </c>
      <c r="B437" s="178" t="s">
        <v>762</v>
      </c>
      <c r="C437" s="179" t="s">
        <v>742</v>
      </c>
      <c r="D437" s="179" t="s">
        <v>87</v>
      </c>
      <c r="E437" s="155">
        <v>120</v>
      </c>
      <c r="F437" s="279">
        <f>'приложение 5'!Q710</f>
        <v>2395.8</v>
      </c>
      <c r="G437" s="279">
        <f>'приложение 5'!R710</f>
        <v>2395.8</v>
      </c>
      <c r="H437" s="279">
        <f>'приложение 5'!S710</f>
        <v>2395.8</v>
      </c>
    </row>
    <row r="438" spans="1:8" ht="94.5">
      <c r="A438" s="8" t="s">
        <v>415</v>
      </c>
      <c r="B438" s="178" t="s">
        <v>750</v>
      </c>
      <c r="C438" s="179"/>
      <c r="D438" s="179"/>
      <c r="E438" s="155"/>
      <c r="F438" s="279">
        <f>F439</f>
        <v>1836.1999999999998</v>
      </c>
      <c r="G438" s="279">
        <f>G439</f>
        <v>2458.6</v>
      </c>
      <c r="H438" s="279">
        <f>H439</f>
        <v>2458.6</v>
      </c>
    </row>
    <row r="439" spans="1:8" ht="110.25">
      <c r="A439" s="8" t="s">
        <v>32</v>
      </c>
      <c r="B439" s="178" t="s">
        <v>751</v>
      </c>
      <c r="C439" s="179"/>
      <c r="D439" s="179"/>
      <c r="E439" s="155"/>
      <c r="F439" s="279">
        <f>F440+F441</f>
        <v>1836.1999999999998</v>
      </c>
      <c r="G439" s="279">
        <f>G440+G441</f>
        <v>2458.6</v>
      </c>
      <c r="H439" s="279">
        <f>H440+H441</f>
        <v>2458.6</v>
      </c>
    </row>
    <row r="440" spans="1:8" ht="47.25">
      <c r="A440" s="8" t="s">
        <v>299</v>
      </c>
      <c r="B440" s="178" t="s">
        <v>751</v>
      </c>
      <c r="C440" s="179" t="s">
        <v>742</v>
      </c>
      <c r="D440" s="179" t="s">
        <v>87</v>
      </c>
      <c r="E440" s="155">
        <v>240</v>
      </c>
      <c r="F440" s="279">
        <f>'приложение 5'!Q713</f>
        <v>27.1</v>
      </c>
      <c r="G440" s="279">
        <f>'приложение 5'!R713</f>
        <v>58.6</v>
      </c>
      <c r="H440" s="279">
        <f>'приложение 5'!S713</f>
        <v>58.6</v>
      </c>
    </row>
    <row r="441" spans="1:8" ht="31.5">
      <c r="A441" s="8" t="s">
        <v>304</v>
      </c>
      <c r="B441" s="178" t="s">
        <v>751</v>
      </c>
      <c r="C441" s="179" t="s">
        <v>742</v>
      </c>
      <c r="D441" s="179" t="s">
        <v>89</v>
      </c>
      <c r="E441" s="155">
        <v>320</v>
      </c>
      <c r="F441" s="279">
        <f>'приложение 5'!Q725</f>
        <v>1809.1</v>
      </c>
      <c r="G441" s="279">
        <f>'приложение 5'!R725</f>
        <v>2400</v>
      </c>
      <c r="H441" s="279">
        <f>'приложение 5'!S725</f>
        <v>2400</v>
      </c>
    </row>
    <row r="442" spans="1:8" s="205" customFormat="1" ht="63">
      <c r="A442" s="29" t="s">
        <v>522</v>
      </c>
      <c r="B442" s="197" t="s">
        <v>763</v>
      </c>
      <c r="C442" s="204"/>
      <c r="D442" s="204"/>
      <c r="E442" s="197"/>
      <c r="F442" s="291">
        <f>F443+F464+F500+F528+F553+F577+F585+F602</f>
        <v>179430.6</v>
      </c>
      <c r="G442" s="291">
        <f>G443+G464+G500+G528+G553+G577+G585+G602</f>
        <v>122381</v>
      </c>
      <c r="H442" s="291">
        <f>H443+H464+H500+H528+H553+H577+H585+H602</f>
        <v>121452.6</v>
      </c>
    </row>
    <row r="443" spans="1:8" s="209" customFormat="1" ht="63">
      <c r="A443" s="8" t="s">
        <v>893</v>
      </c>
      <c r="B443" s="207" t="s">
        <v>764</v>
      </c>
      <c r="C443" s="208"/>
      <c r="D443" s="208"/>
      <c r="E443" s="207"/>
      <c r="F443" s="293">
        <f>F444+F455+F458+F461+F453</f>
        <v>30360</v>
      </c>
      <c r="G443" s="293">
        <f>G444+G455+G458+G461+G453</f>
        <v>33627.5</v>
      </c>
      <c r="H443" s="293">
        <f>H444+H455+H458+H461+H453</f>
        <v>33434.5</v>
      </c>
    </row>
    <row r="444" spans="1:8" ht="31.5">
      <c r="A444" s="8" t="s">
        <v>60</v>
      </c>
      <c r="B444" s="178" t="s">
        <v>765</v>
      </c>
      <c r="C444" s="182"/>
      <c r="D444" s="182"/>
      <c r="E444" s="155"/>
      <c r="F444" s="279">
        <f>F445+F446+F447+F448+F449+F451+F452+F450</f>
        <v>18396.800000000003</v>
      </c>
      <c r="G444" s="279">
        <f>G445+G446+G447+G448+G449+G451+G452+G450</f>
        <v>21664.3</v>
      </c>
      <c r="H444" s="279">
        <f>H445+H446+H447+H448+H449+H451+H452+H450</f>
        <v>21471.3</v>
      </c>
    </row>
    <row r="445" spans="1:8" ht="31.5">
      <c r="A445" s="8" t="s">
        <v>204</v>
      </c>
      <c r="B445" s="178" t="s">
        <v>765</v>
      </c>
      <c r="C445" s="179" t="s">
        <v>616</v>
      </c>
      <c r="D445" s="179" t="s">
        <v>766</v>
      </c>
      <c r="E445" s="155">
        <v>120</v>
      </c>
      <c r="F445" s="279">
        <f>'приложение 5'!Q40</f>
        <v>1647.8</v>
      </c>
      <c r="G445" s="279">
        <f>'приложение 5'!R40</f>
        <v>1373</v>
      </c>
      <c r="H445" s="279">
        <f>'приложение 5'!S40</f>
        <v>1373</v>
      </c>
    </row>
    <row r="446" spans="1:8" ht="31.5">
      <c r="A446" s="8" t="s">
        <v>204</v>
      </c>
      <c r="B446" s="178" t="s">
        <v>765</v>
      </c>
      <c r="C446" s="179" t="s">
        <v>616</v>
      </c>
      <c r="D446" s="179" t="s">
        <v>79</v>
      </c>
      <c r="E446" s="155">
        <v>120</v>
      </c>
      <c r="F446" s="279">
        <f>'приложение 5'!Q47</f>
        <v>10083.6</v>
      </c>
      <c r="G446" s="279">
        <f>'приложение 5'!R47</f>
        <v>16181.3</v>
      </c>
      <c r="H446" s="279">
        <f>'приложение 5'!S47</f>
        <v>16151.3</v>
      </c>
    </row>
    <row r="447" spans="1:8" ht="47.25">
      <c r="A447" s="2" t="s">
        <v>299</v>
      </c>
      <c r="B447" s="178" t="s">
        <v>765</v>
      </c>
      <c r="C447" s="179" t="s">
        <v>616</v>
      </c>
      <c r="D447" s="179" t="s">
        <v>79</v>
      </c>
      <c r="E447" s="155">
        <v>240</v>
      </c>
      <c r="F447" s="279">
        <f>'приложение 5'!Q48</f>
        <v>2862.5</v>
      </c>
      <c r="G447" s="279">
        <f>'приложение 5'!R48</f>
        <v>2952</v>
      </c>
      <c r="H447" s="279">
        <f>'приложение 5'!S48</f>
        <v>2852</v>
      </c>
    </row>
    <row r="448" spans="1:8" ht="15.75">
      <c r="A448" s="70" t="s">
        <v>300</v>
      </c>
      <c r="B448" s="178" t="s">
        <v>765</v>
      </c>
      <c r="C448" s="179" t="s">
        <v>616</v>
      </c>
      <c r="D448" s="179" t="s">
        <v>79</v>
      </c>
      <c r="E448" s="155">
        <v>850</v>
      </c>
      <c r="F448" s="279">
        <f>'приложение 5'!Q49</f>
        <v>500</v>
      </c>
      <c r="G448" s="279">
        <f>'приложение 5'!R49</f>
        <v>500</v>
      </c>
      <c r="H448" s="279">
        <f>'приложение 5'!S49</f>
        <v>500</v>
      </c>
    </row>
    <row r="449" spans="1:8" ht="47.25">
      <c r="A449" s="8" t="s">
        <v>299</v>
      </c>
      <c r="B449" s="178" t="s">
        <v>765</v>
      </c>
      <c r="C449" s="179" t="s">
        <v>616</v>
      </c>
      <c r="D449" s="179" t="s">
        <v>87</v>
      </c>
      <c r="E449" s="155">
        <v>240</v>
      </c>
      <c r="F449" s="279">
        <f>'приложение 5'!Q82</f>
        <v>752</v>
      </c>
      <c r="G449" s="279">
        <f>'приложение 5'!R82</f>
        <v>508</v>
      </c>
      <c r="H449" s="279">
        <f>'приложение 5'!S82</f>
        <v>445</v>
      </c>
    </row>
    <row r="450" spans="1:8" ht="15.75">
      <c r="A450" s="2" t="s">
        <v>306</v>
      </c>
      <c r="B450" s="178" t="s">
        <v>765</v>
      </c>
      <c r="C450" s="179" t="s">
        <v>616</v>
      </c>
      <c r="D450" s="179" t="s">
        <v>87</v>
      </c>
      <c r="E450" s="155">
        <v>830</v>
      </c>
      <c r="F450" s="279">
        <f>'приложение 5'!Q83</f>
        <v>363.9</v>
      </c>
      <c r="G450" s="279">
        <f>'приложение 5'!R83</f>
        <v>0</v>
      </c>
      <c r="H450" s="279">
        <f>'приложение 5'!S83</f>
        <v>0</v>
      </c>
    </row>
    <row r="451" spans="1:8" ht="15.75">
      <c r="A451" s="8" t="s">
        <v>300</v>
      </c>
      <c r="B451" s="178" t="s">
        <v>765</v>
      </c>
      <c r="C451" s="179" t="s">
        <v>616</v>
      </c>
      <c r="D451" s="179" t="s">
        <v>87</v>
      </c>
      <c r="E451" s="155">
        <v>850</v>
      </c>
      <c r="F451" s="279">
        <f>'приложение 5'!Q84</f>
        <v>2187</v>
      </c>
      <c r="G451" s="279">
        <f>'приложение 5'!R84</f>
        <v>150</v>
      </c>
      <c r="H451" s="279">
        <f>'приложение 5'!S84</f>
        <v>150</v>
      </c>
    </row>
    <row r="452" spans="1:8" ht="47.25" hidden="1">
      <c r="A452" s="2" t="s">
        <v>299</v>
      </c>
      <c r="B452" s="178" t="s">
        <v>765</v>
      </c>
      <c r="C452" s="179" t="s">
        <v>616</v>
      </c>
      <c r="D452" s="179" t="s">
        <v>98</v>
      </c>
      <c r="E452" s="155">
        <v>240</v>
      </c>
      <c r="F452" s="279">
        <f>'приложение 5'!Q246</f>
        <v>0</v>
      </c>
      <c r="G452" s="279">
        <f>'приложение 5'!R246</f>
        <v>0</v>
      </c>
      <c r="H452" s="279">
        <f>'приложение 5'!S246</f>
        <v>0</v>
      </c>
    </row>
    <row r="453" spans="1:8" ht="15.75" hidden="1">
      <c r="A453" s="373" t="s">
        <v>462</v>
      </c>
      <c r="B453" s="178" t="s">
        <v>927</v>
      </c>
      <c r="C453" s="179" t="s">
        <v>616</v>
      </c>
      <c r="D453" s="179" t="s">
        <v>87</v>
      </c>
      <c r="E453" s="155"/>
      <c r="F453" s="279">
        <f>F454</f>
        <v>0</v>
      </c>
      <c r="G453" s="279">
        <f>G454</f>
        <v>0</v>
      </c>
      <c r="H453" s="279">
        <f>H454</f>
        <v>0</v>
      </c>
    </row>
    <row r="454" spans="1:8" ht="47.25" hidden="1">
      <c r="A454" s="2" t="s">
        <v>299</v>
      </c>
      <c r="B454" s="178" t="s">
        <v>927</v>
      </c>
      <c r="C454" s="179" t="s">
        <v>616</v>
      </c>
      <c r="D454" s="179" t="s">
        <v>87</v>
      </c>
      <c r="E454" s="155">
        <v>240</v>
      </c>
      <c r="F454" s="279">
        <f>'приложение 5'!Q86</f>
        <v>0</v>
      </c>
      <c r="G454" s="279">
        <f>'приложение 5'!R86</f>
        <v>0</v>
      </c>
      <c r="H454" s="279">
        <f>'приложение 5'!S86</f>
        <v>0</v>
      </c>
    </row>
    <row r="455" spans="1:8" ht="63">
      <c r="A455" s="70" t="s">
        <v>374</v>
      </c>
      <c r="B455" s="178" t="s">
        <v>767</v>
      </c>
      <c r="C455" s="182"/>
      <c r="D455" s="182"/>
      <c r="E455" s="155"/>
      <c r="F455" s="279">
        <f>F456+F457</f>
        <v>11783.199999999999</v>
      </c>
      <c r="G455" s="279">
        <f>G456+G457</f>
        <v>11783.199999999999</v>
      </c>
      <c r="H455" s="279">
        <f>H456+H457</f>
        <v>11783.199999999999</v>
      </c>
    </row>
    <row r="456" spans="1:8" ht="31.5">
      <c r="A456" s="2" t="s">
        <v>204</v>
      </c>
      <c r="B456" s="178" t="s">
        <v>767</v>
      </c>
      <c r="C456" s="179" t="s">
        <v>616</v>
      </c>
      <c r="D456" s="179" t="s">
        <v>766</v>
      </c>
      <c r="E456" s="155">
        <v>120</v>
      </c>
      <c r="F456" s="279">
        <f>'приложение 5'!Q42</f>
        <v>926.9</v>
      </c>
      <c r="G456" s="279">
        <f>'приложение 5'!R42</f>
        <v>926.9</v>
      </c>
      <c r="H456" s="279">
        <f>'приложение 5'!S42</f>
        <v>926.9</v>
      </c>
    </row>
    <row r="457" spans="1:8" ht="31.5">
      <c r="A457" s="2" t="s">
        <v>204</v>
      </c>
      <c r="B457" s="178" t="s">
        <v>767</v>
      </c>
      <c r="C457" s="179" t="s">
        <v>616</v>
      </c>
      <c r="D457" s="179" t="s">
        <v>79</v>
      </c>
      <c r="E457" s="155">
        <v>120</v>
      </c>
      <c r="F457" s="279">
        <f>'приложение 5'!Q51</f>
        <v>10856.3</v>
      </c>
      <c r="G457" s="279">
        <f>'приложение 5'!R51</f>
        <v>10856.3</v>
      </c>
      <c r="H457" s="279">
        <f>'приложение 5'!S51</f>
        <v>10856.3</v>
      </c>
    </row>
    <row r="458" spans="1:8" ht="31.5" hidden="1">
      <c r="A458" s="12" t="s">
        <v>462</v>
      </c>
      <c r="B458" s="178" t="s">
        <v>768</v>
      </c>
      <c r="C458" s="182"/>
      <c r="D458" s="182"/>
      <c r="E458" s="155"/>
      <c r="F458" s="279">
        <f>F459+F460</f>
        <v>0</v>
      </c>
      <c r="G458" s="279">
        <f>G459+G460</f>
        <v>0</v>
      </c>
      <c r="H458" s="279">
        <f>H459+H460</f>
        <v>0</v>
      </c>
    </row>
    <row r="459" spans="1:8" ht="47.25" hidden="1">
      <c r="A459" s="12" t="s">
        <v>299</v>
      </c>
      <c r="B459" s="178" t="s">
        <v>768</v>
      </c>
      <c r="C459" s="179" t="s">
        <v>616</v>
      </c>
      <c r="D459" s="182" t="s">
        <v>98</v>
      </c>
      <c r="E459" s="155">
        <v>240</v>
      </c>
      <c r="F459" s="279">
        <f>'приложение 5'!Q248</f>
        <v>0</v>
      </c>
      <c r="G459" s="279">
        <f>'приложение 5'!R248</f>
        <v>0</v>
      </c>
      <c r="H459" s="279">
        <f>'приложение 5'!S248</f>
        <v>0</v>
      </c>
    </row>
    <row r="460" spans="1:8" ht="47.25" hidden="1">
      <c r="A460" s="12" t="s">
        <v>299</v>
      </c>
      <c r="B460" s="178" t="s">
        <v>768</v>
      </c>
      <c r="C460" s="179" t="s">
        <v>616</v>
      </c>
      <c r="D460" s="179" t="s">
        <v>158</v>
      </c>
      <c r="E460" s="155">
        <v>240</v>
      </c>
      <c r="F460" s="279">
        <f>'приложение 5'!Q282</f>
        <v>0</v>
      </c>
      <c r="G460" s="279">
        <f>'приложение 5'!R282</f>
        <v>0</v>
      </c>
      <c r="H460" s="279">
        <f>'приложение 5'!S282</f>
        <v>0</v>
      </c>
    </row>
    <row r="461" spans="1:8" ht="15.75">
      <c r="A461" s="2" t="s">
        <v>548</v>
      </c>
      <c r="B461" s="178" t="s">
        <v>769</v>
      </c>
      <c r="C461" s="182"/>
      <c r="D461" s="182" t="s">
        <v>262</v>
      </c>
      <c r="E461" s="155"/>
      <c r="F461" s="279">
        <f>F463+F462</f>
        <v>180</v>
      </c>
      <c r="G461" s="279">
        <f>G463+G462</f>
        <v>180</v>
      </c>
      <c r="H461" s="279">
        <f>H463+H462</f>
        <v>180</v>
      </c>
    </row>
    <row r="462" spans="1:8" ht="47.25" hidden="1">
      <c r="A462" s="265" t="str">
        <f>A463</f>
        <v>Иные закупки товаров, работ и услуг для обеспечения государственных (муниципальных) нужд</v>
      </c>
      <c r="B462" s="178" t="s">
        <v>769</v>
      </c>
      <c r="C462" s="179" t="s">
        <v>616</v>
      </c>
      <c r="D462" s="179" t="s">
        <v>105</v>
      </c>
      <c r="E462" s="155">
        <v>240</v>
      </c>
      <c r="F462" s="279">
        <f>'приложение 5'!Q230</f>
        <v>0</v>
      </c>
      <c r="G462" s="279">
        <f>'приложение 5'!R230</f>
        <v>0</v>
      </c>
      <c r="H462" s="279">
        <f>'приложение 5'!S230</f>
        <v>0</v>
      </c>
    </row>
    <row r="463" spans="1:8" ht="47.25">
      <c r="A463" s="79" t="s">
        <v>299</v>
      </c>
      <c r="B463" s="178" t="s">
        <v>769</v>
      </c>
      <c r="C463" s="179" t="s">
        <v>616</v>
      </c>
      <c r="D463" s="182" t="s">
        <v>408</v>
      </c>
      <c r="E463" s="155">
        <v>240</v>
      </c>
      <c r="F463" s="279">
        <f>'приложение 5'!Q302</f>
        <v>180</v>
      </c>
      <c r="G463" s="279">
        <f>'приложение 5'!R302</f>
        <v>180</v>
      </c>
      <c r="H463" s="279">
        <f>'приложение 5'!S302</f>
        <v>180</v>
      </c>
    </row>
    <row r="464" spans="1:8" s="209" customFormat="1" ht="78.75">
      <c r="A464" s="184" t="s">
        <v>894</v>
      </c>
      <c r="B464" s="207" t="s">
        <v>770</v>
      </c>
      <c r="C464" s="208"/>
      <c r="D464" s="208"/>
      <c r="E464" s="207"/>
      <c r="F464" s="293">
        <f>F465+F478+F481+F484+F492+F494+F488+F490+F498+F473+F496+F475</f>
        <v>32100.9</v>
      </c>
      <c r="G464" s="293">
        <f>G465+G478+G481+G484+G492+G494+G488+G490+G498+G473+G496</f>
        <v>17033.699999999997</v>
      </c>
      <c r="H464" s="293">
        <f>H465+H478+H481+H484+H492+H494+H488+H490+H498+H473+H496</f>
        <v>16994.3</v>
      </c>
    </row>
    <row r="465" spans="1:8" ht="31.5">
      <c r="A465" s="1" t="s">
        <v>60</v>
      </c>
      <c r="B465" s="178" t="s">
        <v>771</v>
      </c>
      <c r="C465" s="179"/>
      <c r="D465" s="179"/>
      <c r="E465" s="178"/>
      <c r="F465" s="279">
        <f>F466+F467+F470+F468+F471+F469+F472</f>
        <v>2886.8999999999996</v>
      </c>
      <c r="G465" s="279">
        <f>G466+G467+G470+G468+G471+G469+G472</f>
        <v>3136.2</v>
      </c>
      <c r="H465" s="279">
        <f>H466+H467+H470+H468+H471+H469+H472</f>
        <v>3136.2</v>
      </c>
    </row>
    <row r="466" spans="1:8" ht="31.5">
      <c r="A466" s="8" t="s">
        <v>204</v>
      </c>
      <c r="B466" s="178" t="s">
        <v>771</v>
      </c>
      <c r="C466" s="179" t="s">
        <v>735</v>
      </c>
      <c r="D466" s="179" t="s">
        <v>79</v>
      </c>
      <c r="E466" s="178">
        <v>120</v>
      </c>
      <c r="F466" s="279">
        <f>'приложение 5'!Q501</f>
        <v>2062.8999999999996</v>
      </c>
      <c r="G466" s="279">
        <f>'приложение 5'!R501</f>
        <v>2926.2</v>
      </c>
      <c r="H466" s="279">
        <f>'приложение 5'!S501</f>
        <v>2926.2</v>
      </c>
    </row>
    <row r="467" spans="1:8" ht="47.25">
      <c r="A467" s="2" t="s">
        <v>299</v>
      </c>
      <c r="B467" s="178" t="s">
        <v>771</v>
      </c>
      <c r="C467" s="179" t="s">
        <v>735</v>
      </c>
      <c r="D467" s="179" t="s">
        <v>79</v>
      </c>
      <c r="E467" s="178">
        <v>240</v>
      </c>
      <c r="F467" s="279">
        <f>'приложение 5'!Q502</f>
        <v>285</v>
      </c>
      <c r="G467" s="279">
        <f>'приложение 5'!R502</f>
        <v>200</v>
      </c>
      <c r="H467" s="279">
        <f>'приложение 5'!S502</f>
        <v>200</v>
      </c>
    </row>
    <row r="468" spans="1:8" ht="15.75">
      <c r="A468" s="8" t="str">
        <f>A470</f>
        <v>Уплата налогов, сборов и иных платежей</v>
      </c>
      <c r="B468" s="178" t="s">
        <v>771</v>
      </c>
      <c r="C468" s="179" t="s">
        <v>735</v>
      </c>
      <c r="D468" s="179" t="s">
        <v>79</v>
      </c>
      <c r="E468" s="178">
        <v>850</v>
      </c>
      <c r="F468" s="279">
        <f>'приложение 5'!Q503</f>
        <v>424</v>
      </c>
      <c r="G468" s="279">
        <f>'приложение 5'!R503</f>
        <v>10</v>
      </c>
      <c r="H468" s="279">
        <f>'приложение 5'!S503</f>
        <v>10</v>
      </c>
    </row>
    <row r="469" spans="1:8" ht="47.25">
      <c r="A469" s="2" t="s">
        <v>299</v>
      </c>
      <c r="B469" s="178" t="s">
        <v>771</v>
      </c>
      <c r="C469" s="179" t="s">
        <v>735</v>
      </c>
      <c r="D469" s="179" t="s">
        <v>87</v>
      </c>
      <c r="E469" s="178">
        <v>240</v>
      </c>
      <c r="F469" s="279">
        <f>'приложение 5'!Q510</f>
        <v>100</v>
      </c>
      <c r="G469" s="279">
        <f>'приложение 5'!R510</f>
        <v>0</v>
      </c>
      <c r="H469" s="279">
        <f>'приложение 5'!S510</f>
        <v>0</v>
      </c>
    </row>
    <row r="470" spans="1:8" ht="15.75">
      <c r="A470" s="8" t="str">
        <f>A451</f>
        <v>Уплата налогов, сборов и иных платежей</v>
      </c>
      <c r="B470" s="178" t="s">
        <v>771</v>
      </c>
      <c r="C470" s="179" t="s">
        <v>735</v>
      </c>
      <c r="D470" s="179" t="s">
        <v>87</v>
      </c>
      <c r="E470" s="178">
        <v>850</v>
      </c>
      <c r="F470" s="279">
        <f>'приложение 5'!Q511</f>
        <v>15</v>
      </c>
      <c r="G470" s="279">
        <f>'приложение 5'!R511</f>
        <v>0</v>
      </c>
      <c r="H470" s="279">
        <f>'приложение 5'!S511</f>
        <v>0</v>
      </c>
    </row>
    <row r="471" spans="1:8" ht="47.25" hidden="1">
      <c r="A471" s="2" t="s">
        <v>299</v>
      </c>
      <c r="B471" s="178" t="s">
        <v>771</v>
      </c>
      <c r="C471" s="179" t="s">
        <v>735</v>
      </c>
      <c r="D471" s="179" t="s">
        <v>98</v>
      </c>
      <c r="E471" s="178">
        <v>240</v>
      </c>
      <c r="F471" s="279">
        <f>'приложение 5'!Q567</f>
        <v>0</v>
      </c>
      <c r="G471" s="279">
        <f>'приложение 5'!R567</f>
        <v>0</v>
      </c>
      <c r="H471" s="279">
        <f>'приложение 5'!S567</f>
        <v>0</v>
      </c>
    </row>
    <row r="472" spans="1:8" ht="15.75" hidden="1">
      <c r="A472" s="8" t="s">
        <v>300</v>
      </c>
      <c r="B472" s="178" t="s">
        <v>771</v>
      </c>
      <c r="C472" s="179" t="s">
        <v>735</v>
      </c>
      <c r="D472" s="179" t="s">
        <v>158</v>
      </c>
      <c r="E472" s="178">
        <v>850</v>
      </c>
      <c r="F472" s="279">
        <f>'приложение 5'!Q607</f>
        <v>0</v>
      </c>
      <c r="G472" s="279">
        <f>'приложение 5'!R607</f>
        <v>0</v>
      </c>
      <c r="H472" s="279">
        <f>'приложение 5'!S607</f>
        <v>0</v>
      </c>
    </row>
    <row r="473" spans="1:8" ht="15.75" hidden="1">
      <c r="A473" s="373" t="s">
        <v>462</v>
      </c>
      <c r="B473" s="178" t="s">
        <v>928</v>
      </c>
      <c r="C473" s="179" t="s">
        <v>735</v>
      </c>
      <c r="D473" s="179" t="s">
        <v>87</v>
      </c>
      <c r="E473" s="155"/>
      <c r="F473" s="279">
        <f>F474</f>
        <v>1350</v>
      </c>
      <c r="G473" s="279">
        <f>G474</f>
        <v>0</v>
      </c>
      <c r="H473" s="279">
        <f>H474</f>
        <v>0</v>
      </c>
    </row>
    <row r="474" spans="1:8" ht="47.25" hidden="1">
      <c r="A474" s="2" t="s">
        <v>299</v>
      </c>
      <c r="B474" s="178" t="s">
        <v>928</v>
      </c>
      <c r="C474" s="179" t="s">
        <v>735</v>
      </c>
      <c r="D474" s="179" t="s">
        <v>87</v>
      </c>
      <c r="E474" s="155">
        <v>240</v>
      </c>
      <c r="F474" s="279">
        <f>'приложение 5'!Q513</f>
        <v>1350</v>
      </c>
      <c r="G474" s="279">
        <f>'приложение 5'!R513</f>
        <v>0</v>
      </c>
      <c r="H474" s="279">
        <f>'приложение 5'!S513</f>
        <v>0</v>
      </c>
    </row>
    <row r="475" spans="1:8" ht="15.75">
      <c r="A475" s="303" t="s">
        <v>462</v>
      </c>
      <c r="B475" s="178" t="s">
        <v>921</v>
      </c>
      <c r="C475" s="179"/>
      <c r="D475" s="179"/>
      <c r="E475" s="155"/>
      <c r="F475" s="279">
        <f>F477+F476</f>
        <v>5300</v>
      </c>
      <c r="G475" s="279">
        <f>G477+G476</f>
        <v>0</v>
      </c>
      <c r="H475" s="279">
        <f>H477+H476</f>
        <v>0</v>
      </c>
    </row>
    <row r="476" spans="1:8" ht="47.25" hidden="1">
      <c r="A476" s="2" t="s">
        <v>299</v>
      </c>
      <c r="B476" s="178" t="s">
        <v>921</v>
      </c>
      <c r="C476" s="179" t="s">
        <v>735</v>
      </c>
      <c r="D476" s="179" t="s">
        <v>98</v>
      </c>
      <c r="E476" s="155">
        <v>240</v>
      </c>
      <c r="F476" s="279">
        <f>'приложение 5'!Q569</f>
        <v>0</v>
      </c>
      <c r="G476" s="279">
        <f>'приложение 5'!R569</f>
        <v>0</v>
      </c>
      <c r="H476" s="279">
        <f>'приложение 5'!S569</f>
        <v>0</v>
      </c>
    </row>
    <row r="477" spans="1:8" ht="47.25">
      <c r="A477" s="2" t="s">
        <v>299</v>
      </c>
      <c r="B477" s="178" t="s">
        <v>921</v>
      </c>
      <c r="C477" s="179" t="s">
        <v>735</v>
      </c>
      <c r="D477" s="179" t="s">
        <v>158</v>
      </c>
      <c r="E477" s="155">
        <v>240</v>
      </c>
      <c r="F477" s="279">
        <f>'приложение 5'!Q613</f>
        <v>5300</v>
      </c>
      <c r="G477" s="279">
        <f>'приложение 5'!R613</f>
        <v>0</v>
      </c>
      <c r="H477" s="279">
        <f>'приложение 5'!S613</f>
        <v>0</v>
      </c>
    </row>
    <row r="478" spans="1:8" ht="63">
      <c r="A478" s="22" t="s">
        <v>374</v>
      </c>
      <c r="B478" s="178" t="s">
        <v>772</v>
      </c>
      <c r="C478" s="179"/>
      <c r="D478" s="179"/>
      <c r="E478" s="178"/>
      <c r="F478" s="279">
        <f>F479+F480</f>
        <v>3943.2</v>
      </c>
      <c r="G478" s="279">
        <f>G479+G480</f>
        <v>3943.2</v>
      </c>
      <c r="H478" s="279">
        <f>H479+H480</f>
        <v>3943.2</v>
      </c>
    </row>
    <row r="479" spans="1:8" ht="31.5">
      <c r="A479" s="8" t="s">
        <v>204</v>
      </c>
      <c r="B479" s="178" t="s">
        <v>772</v>
      </c>
      <c r="C479" s="179" t="s">
        <v>735</v>
      </c>
      <c r="D479" s="179" t="s">
        <v>79</v>
      </c>
      <c r="E479" s="178">
        <v>120</v>
      </c>
      <c r="F479" s="279">
        <f>'приложение 5'!Q505</f>
        <v>1975.5</v>
      </c>
      <c r="G479" s="279">
        <f>'приложение 5'!R505</f>
        <v>1975.5</v>
      </c>
      <c r="H479" s="279">
        <f>'приложение 5'!S505</f>
        <v>1975.5</v>
      </c>
    </row>
    <row r="480" spans="1:8" ht="15.75">
      <c r="A480" s="8" t="s">
        <v>301</v>
      </c>
      <c r="B480" s="178" t="s">
        <v>772</v>
      </c>
      <c r="C480" s="179" t="s">
        <v>735</v>
      </c>
      <c r="D480" s="179" t="s">
        <v>408</v>
      </c>
      <c r="E480" s="178">
        <v>610</v>
      </c>
      <c r="F480" s="279">
        <f>'приложение 5'!Q641</f>
        <v>1967.7</v>
      </c>
      <c r="G480" s="279">
        <f>'приложение 5'!R641</f>
        <v>1967.7</v>
      </c>
      <c r="H480" s="279">
        <f>'приложение 5'!S641</f>
        <v>1967.7</v>
      </c>
    </row>
    <row r="481" spans="1:8" ht="63">
      <c r="A481" s="176" t="s">
        <v>560</v>
      </c>
      <c r="B481" s="178" t="s">
        <v>773</v>
      </c>
      <c r="C481" s="179"/>
      <c r="D481" s="179"/>
      <c r="E481" s="178"/>
      <c r="F481" s="279">
        <f>F482+F483</f>
        <v>600.4000000000001</v>
      </c>
      <c r="G481" s="279">
        <f>G482+G483</f>
        <v>660</v>
      </c>
      <c r="H481" s="279">
        <f>H482+H483</f>
        <v>720.6</v>
      </c>
    </row>
    <row r="482" spans="1:8" ht="31.5">
      <c r="A482" s="8" t="s">
        <v>204</v>
      </c>
      <c r="B482" s="178" t="s">
        <v>773</v>
      </c>
      <c r="C482" s="179" t="s">
        <v>735</v>
      </c>
      <c r="D482" s="179" t="s">
        <v>774</v>
      </c>
      <c r="E482" s="178">
        <v>120</v>
      </c>
      <c r="F482" s="279">
        <f>'приложение 5'!Q519</f>
        <v>443.6</v>
      </c>
      <c r="G482" s="279">
        <f>'приложение 5'!R519</f>
        <v>443.6</v>
      </c>
      <c r="H482" s="279">
        <f>'приложение 5'!S519</f>
        <v>443.6</v>
      </c>
    </row>
    <row r="483" spans="1:8" ht="47.25">
      <c r="A483" s="2" t="s">
        <v>299</v>
      </c>
      <c r="B483" s="178" t="s">
        <v>773</v>
      </c>
      <c r="C483" s="179" t="s">
        <v>735</v>
      </c>
      <c r="D483" s="179" t="s">
        <v>774</v>
      </c>
      <c r="E483" s="178">
        <v>240</v>
      </c>
      <c r="F483" s="279">
        <f>'приложение 5'!Q520</f>
        <v>156.8</v>
      </c>
      <c r="G483" s="279">
        <f>'приложение 5'!R520</f>
        <v>216.4</v>
      </c>
      <c r="H483" s="279">
        <f>'приложение 5'!S520</f>
        <v>277</v>
      </c>
    </row>
    <row r="484" spans="1:8" ht="31.5">
      <c r="A484" s="8" t="s">
        <v>62</v>
      </c>
      <c r="B484" s="178" t="s">
        <v>775</v>
      </c>
      <c r="C484" s="179"/>
      <c r="D484" s="179"/>
      <c r="E484" s="178"/>
      <c r="F484" s="279">
        <f>F487+F486+F485</f>
        <v>16620.4</v>
      </c>
      <c r="G484" s="279">
        <f>G487+G486+G485</f>
        <v>8779.3</v>
      </c>
      <c r="H484" s="279">
        <f>H487+H486+H485</f>
        <v>8679.3</v>
      </c>
    </row>
    <row r="485" spans="1:8" ht="15.75">
      <c r="A485" s="8" t="s">
        <v>301</v>
      </c>
      <c r="B485" s="178" t="s">
        <v>775</v>
      </c>
      <c r="C485" s="179" t="s">
        <v>735</v>
      </c>
      <c r="D485" s="179" t="s">
        <v>407</v>
      </c>
      <c r="E485" s="178">
        <v>610</v>
      </c>
      <c r="F485" s="279">
        <f>'приложение 5'!Q534</f>
        <v>4312</v>
      </c>
      <c r="G485" s="279">
        <f>'приложение 5'!R534</f>
        <v>0</v>
      </c>
      <c r="H485" s="279">
        <f>'приложение 5'!S534</f>
        <v>0</v>
      </c>
    </row>
    <row r="486" spans="1:8" ht="15.75">
      <c r="A486" s="8" t="s">
        <v>301</v>
      </c>
      <c r="B486" s="178" t="s">
        <v>775</v>
      </c>
      <c r="C486" s="179" t="s">
        <v>735</v>
      </c>
      <c r="D486" s="179" t="s">
        <v>158</v>
      </c>
      <c r="E486" s="178">
        <v>610</v>
      </c>
      <c r="F486" s="279">
        <f>'приложение 5'!Q609</f>
        <v>2332.5</v>
      </c>
      <c r="G486" s="279">
        <f>'приложение 5'!R609</f>
        <v>600</v>
      </c>
      <c r="H486" s="279">
        <f>'приложение 5'!S609</f>
        <v>500</v>
      </c>
    </row>
    <row r="487" spans="1:8" ht="15.75">
      <c r="A487" s="8" t="s">
        <v>301</v>
      </c>
      <c r="B487" s="178" t="s">
        <v>775</v>
      </c>
      <c r="C487" s="179" t="s">
        <v>735</v>
      </c>
      <c r="D487" s="179" t="s">
        <v>408</v>
      </c>
      <c r="E487" s="178">
        <v>610</v>
      </c>
      <c r="F487" s="279">
        <f>'приложение 5'!Q637</f>
        <v>9975.900000000001</v>
      </c>
      <c r="G487" s="279">
        <f>'приложение 5'!R637</f>
        <v>8179.3</v>
      </c>
      <c r="H487" s="279">
        <f>'приложение 5'!S637</f>
        <v>8179.3</v>
      </c>
    </row>
    <row r="488" spans="1:8" ht="31.5">
      <c r="A488" s="8" t="s">
        <v>11</v>
      </c>
      <c r="B488" s="178" t="s">
        <v>892</v>
      </c>
      <c r="C488" s="179"/>
      <c r="D488" s="179"/>
      <c r="E488" s="178"/>
      <c r="F488" s="279">
        <f>F489</f>
        <v>850</v>
      </c>
      <c r="G488" s="279">
        <f>G489</f>
        <v>450</v>
      </c>
      <c r="H488" s="279">
        <f>H489</f>
        <v>450</v>
      </c>
    </row>
    <row r="489" spans="1:8" ht="47.25">
      <c r="A489" s="8" t="str">
        <f>A483</f>
        <v>Иные закупки товаров, работ и услуг для обеспечения государственных (муниципальных) нужд</v>
      </c>
      <c r="B489" s="178" t="s">
        <v>892</v>
      </c>
      <c r="C489" s="179" t="s">
        <v>735</v>
      </c>
      <c r="D489" s="179" t="s">
        <v>408</v>
      </c>
      <c r="E489" s="178">
        <v>240</v>
      </c>
      <c r="F489" s="279">
        <f>'приложение 5'!Q639</f>
        <v>850</v>
      </c>
      <c r="G489" s="279">
        <f>'приложение 5'!R639</f>
        <v>450</v>
      </c>
      <c r="H489" s="279">
        <f>'приложение 5'!S639</f>
        <v>450</v>
      </c>
    </row>
    <row r="490" spans="1:8" ht="31.5" hidden="1">
      <c r="A490" s="8" t="s">
        <v>906</v>
      </c>
      <c r="B490" s="178" t="s">
        <v>908</v>
      </c>
      <c r="C490" s="179"/>
      <c r="D490" s="179"/>
      <c r="E490" s="178"/>
      <c r="F490" s="279">
        <f>F491</f>
        <v>0</v>
      </c>
      <c r="G490" s="279">
        <f>G491</f>
        <v>0</v>
      </c>
      <c r="H490" s="279">
        <f>H491</f>
        <v>0</v>
      </c>
    </row>
    <row r="491" spans="1:8" ht="15.75" hidden="1">
      <c r="A491" s="8" t="s">
        <v>301</v>
      </c>
      <c r="B491" s="178" t="s">
        <v>908</v>
      </c>
      <c r="C491" s="179" t="s">
        <v>735</v>
      </c>
      <c r="D491" s="179" t="s">
        <v>105</v>
      </c>
      <c r="E491" s="178">
        <v>610</v>
      </c>
      <c r="F491" s="279">
        <f>'приложение 5'!Q560</f>
        <v>0</v>
      </c>
      <c r="G491" s="279">
        <f>'приложение 5'!R560</f>
        <v>0</v>
      </c>
      <c r="H491" s="279">
        <f>'приложение 5'!S560</f>
        <v>0</v>
      </c>
    </row>
    <row r="492" spans="1:8" ht="94.5">
      <c r="A492" s="2" t="s">
        <v>570</v>
      </c>
      <c r="B492" s="178" t="s">
        <v>776</v>
      </c>
      <c r="C492" s="179"/>
      <c r="D492" s="179"/>
      <c r="E492" s="178"/>
      <c r="F492" s="279">
        <f>F493</f>
        <v>550</v>
      </c>
      <c r="G492" s="279">
        <f>G493</f>
        <v>65</v>
      </c>
      <c r="H492" s="279">
        <f>H493</f>
        <v>65</v>
      </c>
    </row>
    <row r="493" spans="1:8" ht="47.25">
      <c r="A493" s="2" t="s">
        <v>299</v>
      </c>
      <c r="B493" s="178" t="s">
        <v>776</v>
      </c>
      <c r="C493" s="179" t="s">
        <v>735</v>
      </c>
      <c r="D493" s="179" t="s">
        <v>408</v>
      </c>
      <c r="E493" s="178">
        <v>240</v>
      </c>
      <c r="F493" s="279">
        <f>'приложение 5'!Q643</f>
        <v>550</v>
      </c>
      <c r="G493" s="279">
        <f>'приложение 5'!R643</f>
        <v>65</v>
      </c>
      <c r="H493" s="279">
        <f>'приложение 5'!S643</f>
        <v>65</v>
      </c>
    </row>
    <row r="494" spans="1:8" ht="15.75" hidden="1">
      <c r="A494" s="8" t="s">
        <v>556</v>
      </c>
      <c r="B494" s="178" t="s">
        <v>777</v>
      </c>
      <c r="C494" s="179"/>
      <c r="D494" s="179"/>
      <c r="E494" s="178"/>
      <c r="F494" s="279">
        <f>F495</f>
        <v>0</v>
      </c>
      <c r="G494" s="279">
        <f>G495</f>
        <v>0</v>
      </c>
      <c r="H494" s="279">
        <f>H495</f>
        <v>0</v>
      </c>
    </row>
    <row r="495" spans="1:8" ht="31.5" hidden="1">
      <c r="A495" s="12" t="s">
        <v>303</v>
      </c>
      <c r="B495" s="178" t="s">
        <v>777</v>
      </c>
      <c r="C495" s="179" t="s">
        <v>735</v>
      </c>
      <c r="D495" s="179" t="s">
        <v>411</v>
      </c>
      <c r="E495" s="178">
        <v>310</v>
      </c>
      <c r="F495" s="279">
        <f>'приложение 5'!Q654</f>
        <v>0</v>
      </c>
      <c r="G495" s="279">
        <f>'приложение 5'!R654</f>
        <v>0</v>
      </c>
      <c r="H495" s="279">
        <f>'приложение 5'!S654</f>
        <v>0</v>
      </c>
    </row>
    <row r="496" spans="1:8" ht="63" hidden="1">
      <c r="A496" s="416" t="s">
        <v>945</v>
      </c>
      <c r="B496" s="178" t="s">
        <v>947</v>
      </c>
      <c r="C496" s="179"/>
      <c r="D496" s="179"/>
      <c r="E496" s="178"/>
      <c r="F496" s="279">
        <f>F497</f>
        <v>0</v>
      </c>
      <c r="G496" s="279">
        <f>G497</f>
        <v>0</v>
      </c>
      <c r="H496" s="279">
        <f>H497</f>
        <v>0</v>
      </c>
    </row>
    <row r="497" spans="1:8" ht="47.25" hidden="1">
      <c r="A497" s="2" t="s">
        <v>299</v>
      </c>
      <c r="B497" s="178" t="s">
        <v>947</v>
      </c>
      <c r="C497" s="179" t="s">
        <v>735</v>
      </c>
      <c r="D497" s="179" t="s">
        <v>105</v>
      </c>
      <c r="E497" s="178">
        <v>240</v>
      </c>
      <c r="F497" s="279">
        <f>'приложение 5'!Q562</f>
        <v>0</v>
      </c>
      <c r="G497" s="279">
        <f>'приложение 5'!R562</f>
        <v>0</v>
      </c>
      <c r="H497" s="279">
        <f>'приложение 5'!S562</f>
        <v>0</v>
      </c>
    </row>
    <row r="498" spans="1:8" ht="31.5" hidden="1">
      <c r="A498" s="16" t="s">
        <v>462</v>
      </c>
      <c r="B498" s="178" t="s">
        <v>928</v>
      </c>
      <c r="C498" s="179"/>
      <c r="D498" s="179"/>
      <c r="E498" s="178"/>
      <c r="F498" s="279">
        <f>+F499</f>
        <v>0</v>
      </c>
      <c r="G498" s="279">
        <f>+G499</f>
        <v>0</v>
      </c>
      <c r="H498" s="279">
        <f>+H499</f>
        <v>0</v>
      </c>
    </row>
    <row r="499" spans="1:8" ht="47.25" hidden="1">
      <c r="A499" s="8" t="s">
        <v>299</v>
      </c>
      <c r="B499" s="178" t="s">
        <v>928</v>
      </c>
      <c r="C499" s="179" t="s">
        <v>735</v>
      </c>
      <c r="D499" s="179" t="s">
        <v>158</v>
      </c>
      <c r="E499" s="178">
        <v>240</v>
      </c>
      <c r="F499" s="279">
        <f>'приложение 5'!Q611</f>
        <v>0</v>
      </c>
      <c r="G499" s="279">
        <f>'приложение 5'!R611</f>
        <v>0</v>
      </c>
      <c r="H499" s="279">
        <f>'приложение 5'!S611</f>
        <v>0</v>
      </c>
    </row>
    <row r="500" spans="1:8" s="209" customFormat="1" ht="63">
      <c r="A500" s="260" t="s">
        <v>900</v>
      </c>
      <c r="B500" s="207" t="s">
        <v>778</v>
      </c>
      <c r="C500" s="208"/>
      <c r="D500" s="208"/>
      <c r="E500" s="207"/>
      <c r="F500" s="293">
        <f>F501+F515+F519+F521+F517+F513+F509+F526+F524+F507</f>
        <v>10464.099999999999</v>
      </c>
      <c r="G500" s="293">
        <f>G501+G515+G519+G521+G517+G513+G509+G526+G524+G507</f>
        <v>5851.6</v>
      </c>
      <c r="H500" s="293">
        <f>H501+H515+H519+H521+H517+H513+H509+H526+H524+H507</f>
        <v>5680.3</v>
      </c>
    </row>
    <row r="501" spans="1:8" ht="31.5">
      <c r="A501" s="2" t="s">
        <v>60</v>
      </c>
      <c r="B501" s="178" t="s">
        <v>779</v>
      </c>
      <c r="C501" s="179"/>
      <c r="D501" s="179"/>
      <c r="E501" s="178"/>
      <c r="F501" s="279">
        <f>F502+F503+F504+F506+F505</f>
        <v>3730.2000000000003</v>
      </c>
      <c r="G501" s="279">
        <f>G502+G503+G504+G506+G505</f>
        <v>3951.9</v>
      </c>
      <c r="H501" s="279">
        <f>H502+H503+H504+H506+H505</f>
        <v>3750.3</v>
      </c>
    </row>
    <row r="502" spans="1:8" ht="31.5">
      <c r="A502" s="8" t="s">
        <v>204</v>
      </c>
      <c r="B502" s="178" t="s">
        <v>779</v>
      </c>
      <c r="C502" s="179" t="s">
        <v>592</v>
      </c>
      <c r="D502" s="179" t="s">
        <v>79</v>
      </c>
      <c r="E502" s="178">
        <v>120</v>
      </c>
      <c r="F502" s="279">
        <f>'приложение 5'!Q913</f>
        <v>2089.9</v>
      </c>
      <c r="G502" s="279">
        <f>'приложение 5'!R913</f>
        <v>2325.3</v>
      </c>
      <c r="H502" s="279">
        <f>'приложение 5'!S913</f>
        <v>2325.3</v>
      </c>
    </row>
    <row r="503" spans="1:8" ht="47.25">
      <c r="A503" s="2" t="s">
        <v>299</v>
      </c>
      <c r="B503" s="178" t="s">
        <v>779</v>
      </c>
      <c r="C503" s="179" t="s">
        <v>592</v>
      </c>
      <c r="D503" s="179" t="s">
        <v>79</v>
      </c>
      <c r="E503" s="178">
        <v>240</v>
      </c>
      <c r="F503" s="279">
        <f>'приложение 5'!Q914</f>
        <v>1402</v>
      </c>
      <c r="G503" s="279">
        <f>'приложение 5'!R914</f>
        <v>1566.6</v>
      </c>
      <c r="H503" s="279">
        <f>'приложение 5'!S914</f>
        <v>1365</v>
      </c>
    </row>
    <row r="504" spans="1:8" ht="15.75">
      <c r="A504" s="2" t="str">
        <f>A468</f>
        <v>Уплата налогов, сборов и иных платежей</v>
      </c>
      <c r="B504" s="178" t="s">
        <v>779</v>
      </c>
      <c r="C504" s="179" t="s">
        <v>592</v>
      </c>
      <c r="D504" s="179" t="s">
        <v>79</v>
      </c>
      <c r="E504" s="178">
        <v>850</v>
      </c>
      <c r="F504" s="279">
        <f>'приложение 5'!Q915</f>
        <v>73</v>
      </c>
      <c r="G504" s="279">
        <f>'приложение 5'!R915</f>
        <v>60</v>
      </c>
      <c r="H504" s="279">
        <f>'приложение 5'!S915</f>
        <v>60</v>
      </c>
    </row>
    <row r="505" spans="1:8" ht="47.25">
      <c r="A505" s="2" t="s">
        <v>299</v>
      </c>
      <c r="B505" s="178" t="s">
        <v>779</v>
      </c>
      <c r="C505" s="179" t="s">
        <v>592</v>
      </c>
      <c r="D505" s="179" t="s">
        <v>87</v>
      </c>
      <c r="E505" s="178">
        <v>240</v>
      </c>
      <c r="F505" s="279">
        <f>'приложение 5'!Q924</f>
        <v>165.3</v>
      </c>
      <c r="G505" s="279">
        <f>'приложение 5'!R924</f>
        <v>0</v>
      </c>
      <c r="H505" s="279">
        <f>'приложение 5'!S924</f>
        <v>0</v>
      </c>
    </row>
    <row r="506" spans="1:8" ht="47.25" hidden="1">
      <c r="A506" s="2" t="s">
        <v>299</v>
      </c>
      <c r="B506" s="178" t="s">
        <v>779</v>
      </c>
      <c r="C506" s="179" t="s">
        <v>592</v>
      </c>
      <c r="D506" s="179" t="s">
        <v>98</v>
      </c>
      <c r="E506" s="178">
        <v>240</v>
      </c>
      <c r="F506" s="279">
        <f>'приложение 5'!Q951</f>
        <v>0</v>
      </c>
      <c r="G506" s="279">
        <f>'приложение 5'!R951</f>
        <v>0</v>
      </c>
      <c r="H506" s="279">
        <f>'приложение 5'!S951</f>
        <v>0</v>
      </c>
    </row>
    <row r="507" spans="1:8" ht="15.75">
      <c r="A507" s="2" t="s">
        <v>74</v>
      </c>
      <c r="B507" s="178" t="s">
        <v>1084</v>
      </c>
      <c r="C507" s="179"/>
      <c r="D507" s="179"/>
      <c r="E507" s="178"/>
      <c r="F507" s="279">
        <f>F508</f>
        <v>10</v>
      </c>
      <c r="G507" s="279">
        <f>G508</f>
        <v>0</v>
      </c>
      <c r="H507" s="279">
        <f>H508</f>
        <v>0</v>
      </c>
    </row>
    <row r="508" spans="1:8" ht="47.25">
      <c r="A508" s="2" t="s">
        <v>299</v>
      </c>
      <c r="B508" s="178" t="s">
        <v>1084</v>
      </c>
      <c r="C508" s="179" t="s">
        <v>592</v>
      </c>
      <c r="D508" s="179" t="s">
        <v>87</v>
      </c>
      <c r="E508" s="178">
        <v>240</v>
      </c>
      <c r="F508" s="279">
        <f>'приложение 5'!Q926</f>
        <v>10</v>
      </c>
      <c r="G508" s="279">
        <f>'приложение 5'!R926</f>
        <v>0</v>
      </c>
      <c r="H508" s="279">
        <f>'приложение 5'!S926</f>
        <v>0</v>
      </c>
    </row>
    <row r="509" spans="1:8" s="282" customFormat="1" ht="15.75">
      <c r="A509" s="375" t="s">
        <v>462</v>
      </c>
      <c r="B509" s="303" t="s">
        <v>929</v>
      </c>
      <c r="C509" s="330" t="s">
        <v>592</v>
      </c>
      <c r="D509" s="330" t="s">
        <v>87</v>
      </c>
      <c r="E509" s="303"/>
      <c r="F509" s="279">
        <f>F510+F511+F512</f>
        <v>1109.8</v>
      </c>
      <c r="G509" s="279">
        <f>G510+G511+G512</f>
        <v>0</v>
      </c>
      <c r="H509" s="279">
        <f>H510+H511+H512</f>
        <v>0</v>
      </c>
    </row>
    <row r="510" spans="1:8" s="282" customFormat="1" ht="47.25">
      <c r="A510" s="2" t="s">
        <v>299</v>
      </c>
      <c r="B510" s="303" t="s">
        <v>929</v>
      </c>
      <c r="C510" s="330" t="s">
        <v>592</v>
      </c>
      <c r="D510" s="330" t="s">
        <v>87</v>
      </c>
      <c r="E510" s="303">
        <v>240</v>
      </c>
      <c r="F510" s="279">
        <f>'приложение 5'!Q922</f>
        <v>209.8</v>
      </c>
      <c r="G510" s="279">
        <f>'приложение 5'!R922</f>
        <v>0</v>
      </c>
      <c r="H510" s="279">
        <f>'приложение 5'!S922</f>
        <v>0</v>
      </c>
    </row>
    <row r="511" spans="1:8" s="282" customFormat="1" ht="47.25">
      <c r="A511" s="2" t="s">
        <v>299</v>
      </c>
      <c r="B511" s="303" t="s">
        <v>929</v>
      </c>
      <c r="C511" s="330" t="s">
        <v>592</v>
      </c>
      <c r="D511" s="330" t="s">
        <v>98</v>
      </c>
      <c r="E511" s="303">
        <v>240</v>
      </c>
      <c r="F511" s="279">
        <f>'приложение 5'!Q952</f>
        <v>900</v>
      </c>
      <c r="G511" s="279">
        <f>'приложение 5'!R952</f>
        <v>0</v>
      </c>
      <c r="H511" s="279">
        <f>'приложение 5'!S952</f>
        <v>0</v>
      </c>
    </row>
    <row r="512" spans="1:8" s="282" customFormat="1" ht="47.25" hidden="1">
      <c r="A512" s="2" t="s">
        <v>299</v>
      </c>
      <c r="B512" s="303" t="s">
        <v>929</v>
      </c>
      <c r="C512" s="330" t="s">
        <v>592</v>
      </c>
      <c r="D512" s="330" t="s">
        <v>158</v>
      </c>
      <c r="E512" s="303">
        <v>240</v>
      </c>
      <c r="F512" s="279">
        <f>'приложение 5'!Q962</f>
        <v>0</v>
      </c>
      <c r="G512" s="279">
        <f>'приложение 5'!R962</f>
        <v>0</v>
      </c>
      <c r="H512" s="279">
        <f>'приложение 5'!S962</f>
        <v>0</v>
      </c>
    </row>
    <row r="513" spans="1:8" ht="15.75" hidden="1">
      <c r="A513" s="373" t="s">
        <v>211</v>
      </c>
      <c r="B513" s="178" t="s">
        <v>920</v>
      </c>
      <c r="C513" s="179"/>
      <c r="D513" s="179"/>
      <c r="E513" s="178"/>
      <c r="F513" s="279">
        <f>F514</f>
        <v>0</v>
      </c>
      <c r="G513" s="279">
        <f>G514</f>
        <v>0</v>
      </c>
      <c r="H513" s="279">
        <f>H514</f>
        <v>0</v>
      </c>
    </row>
    <row r="514" spans="1:8" ht="15.75" hidden="1">
      <c r="A514" s="2" t="s">
        <v>300</v>
      </c>
      <c r="B514" s="178" t="s">
        <v>920</v>
      </c>
      <c r="C514" s="179" t="s">
        <v>592</v>
      </c>
      <c r="D514" s="179" t="s">
        <v>99</v>
      </c>
      <c r="E514" s="178">
        <v>850</v>
      </c>
      <c r="F514" s="279">
        <f>'приложение 5'!Q998</f>
        <v>0</v>
      </c>
      <c r="G514" s="279">
        <f>'приложение 5'!R998</f>
        <v>0</v>
      </c>
      <c r="H514" s="279">
        <f>'приложение 5'!S998</f>
        <v>0</v>
      </c>
    </row>
    <row r="515" spans="1:8" ht="63">
      <c r="A515" s="121" t="s">
        <v>374</v>
      </c>
      <c r="B515" s="178" t="s">
        <v>780</v>
      </c>
      <c r="C515" s="179"/>
      <c r="D515" s="179"/>
      <c r="E515" s="178"/>
      <c r="F515" s="279">
        <f>F516</f>
        <v>1569.7</v>
      </c>
      <c r="G515" s="279">
        <f>G516</f>
        <v>1569.7</v>
      </c>
      <c r="H515" s="279">
        <f>H516</f>
        <v>1569.7</v>
      </c>
    </row>
    <row r="516" spans="1:8" ht="31.5">
      <c r="A516" s="8" t="s">
        <v>204</v>
      </c>
      <c r="B516" s="178" t="s">
        <v>780</v>
      </c>
      <c r="C516" s="179" t="s">
        <v>592</v>
      </c>
      <c r="D516" s="179" t="s">
        <v>79</v>
      </c>
      <c r="E516" s="178">
        <v>120</v>
      </c>
      <c r="F516" s="279">
        <f>'приложение 5'!Q917</f>
        <v>1569.7</v>
      </c>
      <c r="G516" s="279">
        <f>'приложение 5'!R917</f>
        <v>1569.7</v>
      </c>
      <c r="H516" s="279">
        <f>'приложение 5'!S917</f>
        <v>1569.7</v>
      </c>
    </row>
    <row r="517" spans="1:8" ht="63">
      <c r="A517" s="176" t="s">
        <v>560</v>
      </c>
      <c r="B517" s="178" t="s">
        <v>886</v>
      </c>
      <c r="C517" s="179"/>
      <c r="D517" s="179"/>
      <c r="E517" s="178"/>
      <c r="F517" s="279">
        <f>F518</f>
        <v>300.2</v>
      </c>
      <c r="G517" s="279">
        <f>G518</f>
        <v>330</v>
      </c>
      <c r="H517" s="279">
        <f>H518</f>
        <v>360.3</v>
      </c>
    </row>
    <row r="518" spans="1:8" ht="31.5">
      <c r="A518" s="8" t="s">
        <v>204</v>
      </c>
      <c r="B518" s="178" t="s">
        <v>886</v>
      </c>
      <c r="C518" s="179" t="s">
        <v>592</v>
      </c>
      <c r="D518" s="179" t="s">
        <v>774</v>
      </c>
      <c r="E518" s="178">
        <v>120</v>
      </c>
      <c r="F518" s="279">
        <f>'приложение 5'!Q932</f>
        <v>300.2</v>
      </c>
      <c r="G518" s="279">
        <f>'приложение 5'!R932</f>
        <v>330</v>
      </c>
      <c r="H518" s="279">
        <f>'приложение 5'!S932</f>
        <v>360.3</v>
      </c>
    </row>
    <row r="519" spans="1:8" ht="15.75" hidden="1">
      <c r="A519" s="117" t="s">
        <v>556</v>
      </c>
      <c r="B519" s="178" t="s">
        <v>782</v>
      </c>
      <c r="C519" s="179"/>
      <c r="D519" s="179"/>
      <c r="E519" s="178"/>
      <c r="F519" s="279">
        <f>F520</f>
        <v>0</v>
      </c>
      <c r="G519" s="279">
        <f>G520</f>
        <v>0</v>
      </c>
      <c r="H519" s="279">
        <f>H520</f>
        <v>0</v>
      </c>
    </row>
    <row r="520" spans="1:8" ht="31.5" hidden="1">
      <c r="A520" s="12" t="s">
        <v>303</v>
      </c>
      <c r="B520" s="178" t="s">
        <v>782</v>
      </c>
      <c r="C520" s="179" t="s">
        <v>592</v>
      </c>
      <c r="D520" s="179" t="s">
        <v>411</v>
      </c>
      <c r="E520" s="178">
        <v>310</v>
      </c>
      <c r="F520" s="279">
        <f>'приложение 5'!Q1004</f>
        <v>0</v>
      </c>
      <c r="G520" s="279">
        <f>'приложение 5'!R1004</f>
        <v>0</v>
      </c>
      <c r="H520" s="279">
        <f>'приложение 5'!S1004</f>
        <v>0</v>
      </c>
    </row>
    <row r="521" spans="1:8" ht="94.5">
      <c r="A521" s="2" t="s">
        <v>570</v>
      </c>
      <c r="B521" s="178" t="s">
        <v>781</v>
      </c>
      <c r="C521" s="179"/>
      <c r="D521" s="179"/>
      <c r="E521" s="178"/>
      <c r="F521" s="279">
        <f>F522+F523</f>
        <v>28.400000000000002</v>
      </c>
      <c r="G521" s="279">
        <f>G522+G523</f>
        <v>0</v>
      </c>
      <c r="H521" s="279">
        <f>H522+H523</f>
        <v>0</v>
      </c>
    </row>
    <row r="522" spans="1:8" ht="47.25">
      <c r="A522" s="2" t="s">
        <v>299</v>
      </c>
      <c r="B522" s="178" t="s">
        <v>781</v>
      </c>
      <c r="C522" s="179" t="s">
        <v>592</v>
      </c>
      <c r="D522" s="179" t="s">
        <v>408</v>
      </c>
      <c r="E522" s="178">
        <v>240</v>
      </c>
      <c r="F522" s="279">
        <f>'приложение 5'!Q984</f>
        <v>28.1</v>
      </c>
      <c r="G522" s="279">
        <f>'приложение 5'!R984</f>
        <v>0</v>
      </c>
      <c r="H522" s="279">
        <f>'приложение 5'!S984</f>
        <v>0</v>
      </c>
    </row>
    <row r="523" spans="1:8" ht="15.75">
      <c r="A523" s="2" t="s">
        <v>300</v>
      </c>
      <c r="B523" s="178" t="s">
        <v>781</v>
      </c>
      <c r="C523" s="179" t="s">
        <v>592</v>
      </c>
      <c r="D523" s="179" t="s">
        <v>408</v>
      </c>
      <c r="E523" s="178">
        <v>850</v>
      </c>
      <c r="F523" s="279">
        <f>'приложение 5'!Q985</f>
        <v>0.3</v>
      </c>
      <c r="G523" s="279">
        <f>'приложение 5'!R985</f>
        <v>0</v>
      </c>
      <c r="H523" s="279">
        <f>'приложение 5'!S985</f>
        <v>0</v>
      </c>
    </row>
    <row r="524" spans="1:8" ht="15.75">
      <c r="A524" s="2" t="s">
        <v>548</v>
      </c>
      <c r="B524" s="178" t="s">
        <v>1083</v>
      </c>
      <c r="C524" s="179"/>
      <c r="D524" s="179"/>
      <c r="E524" s="178"/>
      <c r="F524" s="279">
        <f>F525</f>
        <v>125.8</v>
      </c>
      <c r="G524" s="279">
        <f>G525</f>
        <v>0</v>
      </c>
      <c r="H524" s="279">
        <f>H525</f>
        <v>0</v>
      </c>
    </row>
    <row r="525" spans="1:8" ht="47.25">
      <c r="A525" s="2" t="s">
        <v>299</v>
      </c>
      <c r="B525" s="178" t="s">
        <v>1083</v>
      </c>
      <c r="C525" s="179" t="s">
        <v>592</v>
      </c>
      <c r="D525" s="179" t="s">
        <v>408</v>
      </c>
      <c r="E525" s="178">
        <v>240</v>
      </c>
      <c r="F525" s="279">
        <f>'приложение 5'!Q987</f>
        <v>125.8</v>
      </c>
      <c r="G525" s="279">
        <f>'приложение 5'!R987</f>
        <v>0</v>
      </c>
      <c r="H525" s="279">
        <f>'приложение 5'!S987</f>
        <v>0</v>
      </c>
    </row>
    <row r="526" spans="1:8" ht="31.5">
      <c r="A526" s="26" t="s">
        <v>462</v>
      </c>
      <c r="B526" s="178" t="s">
        <v>1039</v>
      </c>
      <c r="C526" s="179"/>
      <c r="D526" s="179"/>
      <c r="E526" s="178"/>
      <c r="F526" s="279">
        <f>F527</f>
        <v>3590</v>
      </c>
      <c r="G526" s="279">
        <f>G527</f>
        <v>0</v>
      </c>
      <c r="H526" s="279">
        <f>H527</f>
        <v>0</v>
      </c>
    </row>
    <row r="527" spans="1:8" ht="47.25">
      <c r="A527" s="2" t="s">
        <v>299</v>
      </c>
      <c r="B527" s="178" t="s">
        <v>1039</v>
      </c>
      <c r="C527" s="179" t="s">
        <v>592</v>
      </c>
      <c r="D527" s="179" t="s">
        <v>158</v>
      </c>
      <c r="E527" s="178">
        <v>240</v>
      </c>
      <c r="F527" s="279">
        <f>'приложение 5'!Q964</f>
        <v>3590</v>
      </c>
      <c r="G527" s="279">
        <f>'приложение 5'!R964</f>
        <v>0</v>
      </c>
      <c r="H527" s="279">
        <f>'приложение 5'!S964</f>
        <v>0</v>
      </c>
    </row>
    <row r="528" spans="1:8" s="209" customFormat="1" ht="63">
      <c r="A528" s="260" t="s">
        <v>901</v>
      </c>
      <c r="B528" s="207" t="s">
        <v>783</v>
      </c>
      <c r="C528" s="208"/>
      <c r="D528" s="208"/>
      <c r="E528" s="207"/>
      <c r="F528" s="293">
        <f>F529+F540+F542+F544+F548+F550+F534+F536+F546</f>
        <v>22752.5</v>
      </c>
      <c r="G528" s="293">
        <f>G529+G540+G542+G544+G548+G550+G534+G536+G546</f>
        <v>7380</v>
      </c>
      <c r="H528" s="293">
        <f>H529+H540+H542+H544+H548+H550+H534+H536+H546</f>
        <v>7228.599999999999</v>
      </c>
    </row>
    <row r="529" spans="1:8" ht="31.5">
      <c r="A529" s="2" t="s">
        <v>60</v>
      </c>
      <c r="B529" s="178" t="s">
        <v>784</v>
      </c>
      <c r="C529" s="179"/>
      <c r="D529" s="179"/>
      <c r="E529" s="178"/>
      <c r="F529" s="279">
        <f>F530+F531+F532+F533</f>
        <v>4077.2</v>
      </c>
      <c r="G529" s="279">
        <f>G530+G531+G532+G533</f>
        <v>4678.9</v>
      </c>
      <c r="H529" s="279">
        <f>H530+H531+H532+H533</f>
        <v>4497.2</v>
      </c>
    </row>
    <row r="530" spans="1:8" ht="31.5">
      <c r="A530" s="8" t="s">
        <v>204</v>
      </c>
      <c r="B530" s="178" t="s">
        <v>784</v>
      </c>
      <c r="C530" s="179" t="s">
        <v>745</v>
      </c>
      <c r="D530" s="179" t="s">
        <v>79</v>
      </c>
      <c r="E530" s="178">
        <v>120</v>
      </c>
      <c r="F530" s="279">
        <f>'приложение 5'!Q1011</f>
        <v>2964.9999999999995</v>
      </c>
      <c r="G530" s="279">
        <f>'приложение 5'!R1011</f>
        <v>3546.8</v>
      </c>
      <c r="H530" s="279">
        <f>'приложение 5'!S1011</f>
        <v>3512.2</v>
      </c>
    </row>
    <row r="531" spans="1:8" ht="47.25">
      <c r="A531" s="2" t="s">
        <v>299</v>
      </c>
      <c r="B531" s="178" t="s">
        <v>784</v>
      </c>
      <c r="C531" s="179" t="s">
        <v>745</v>
      </c>
      <c r="D531" s="179" t="s">
        <v>79</v>
      </c>
      <c r="E531" s="178">
        <v>240</v>
      </c>
      <c r="F531" s="279">
        <f>'приложение 5'!Q1012</f>
        <v>1052.2</v>
      </c>
      <c r="G531" s="279">
        <f>'приложение 5'!R1012</f>
        <v>1107.1</v>
      </c>
      <c r="H531" s="279">
        <f>'приложение 5'!S1012</f>
        <v>960</v>
      </c>
    </row>
    <row r="532" spans="1:8" ht="15.75">
      <c r="A532" s="2" t="str">
        <f>A504</f>
        <v>Уплата налогов, сборов и иных платежей</v>
      </c>
      <c r="B532" s="178" t="s">
        <v>784</v>
      </c>
      <c r="C532" s="179" t="s">
        <v>745</v>
      </c>
      <c r="D532" s="179" t="s">
        <v>79</v>
      </c>
      <c r="E532" s="178">
        <v>850</v>
      </c>
      <c r="F532" s="279">
        <f>'приложение 5'!Q1013</f>
        <v>60</v>
      </c>
      <c r="G532" s="279">
        <f>'приложение 5'!R1013</f>
        <v>25</v>
      </c>
      <c r="H532" s="279">
        <f>'приложение 5'!S1013</f>
        <v>25</v>
      </c>
    </row>
    <row r="533" spans="1:8" ht="47.25" hidden="1">
      <c r="A533" s="2" t="s">
        <v>299</v>
      </c>
      <c r="B533" s="178" t="s">
        <v>784</v>
      </c>
      <c r="C533" s="179" t="s">
        <v>745</v>
      </c>
      <c r="D533" s="179" t="s">
        <v>98</v>
      </c>
      <c r="E533" s="178">
        <v>240</v>
      </c>
      <c r="F533" s="279">
        <f>'приложение 5'!Q1045</f>
        <v>0</v>
      </c>
      <c r="G533" s="279">
        <f>'приложение 5'!R1045</f>
        <v>0</v>
      </c>
      <c r="H533" s="279">
        <f>'приложение 5'!S1045</f>
        <v>0</v>
      </c>
    </row>
    <row r="534" spans="1:8" ht="15.75">
      <c r="A534" s="368" t="s">
        <v>462</v>
      </c>
      <c r="B534" s="178" t="s">
        <v>930</v>
      </c>
      <c r="C534" s="179"/>
      <c r="D534" s="179"/>
      <c r="E534" s="178"/>
      <c r="F534" s="279">
        <f>F535</f>
        <v>340.3</v>
      </c>
      <c r="G534" s="279">
        <f>G535</f>
        <v>0</v>
      </c>
      <c r="H534" s="279">
        <f>H535</f>
        <v>0</v>
      </c>
    </row>
    <row r="535" spans="1:8" ht="47.25">
      <c r="A535" s="2" t="s">
        <v>299</v>
      </c>
      <c r="B535" s="178" t="s">
        <v>930</v>
      </c>
      <c r="C535" s="179" t="s">
        <v>745</v>
      </c>
      <c r="D535" s="179" t="s">
        <v>87</v>
      </c>
      <c r="E535" s="178">
        <v>240</v>
      </c>
      <c r="F535" s="279">
        <f>'приложение 5'!Q1020</f>
        <v>340.3</v>
      </c>
      <c r="G535" s="279">
        <f>'приложение 5'!R1020</f>
        <v>0</v>
      </c>
      <c r="H535" s="279">
        <f>'приложение 5'!S1020</f>
        <v>0</v>
      </c>
    </row>
    <row r="536" spans="1:8" ht="15.75">
      <c r="A536" s="303" t="s">
        <v>462</v>
      </c>
      <c r="B536" s="178" t="s">
        <v>916</v>
      </c>
      <c r="C536" s="179"/>
      <c r="D536" s="179"/>
      <c r="E536" s="178"/>
      <c r="F536" s="279">
        <f>F537+F538+F539</f>
        <v>13592.1</v>
      </c>
      <c r="G536" s="279">
        <f>G537+G538+G539</f>
        <v>0</v>
      </c>
      <c r="H536" s="279">
        <f>H537+H538+H539</f>
        <v>0</v>
      </c>
    </row>
    <row r="537" spans="1:8" ht="47.25">
      <c r="A537" s="2" t="s">
        <v>299</v>
      </c>
      <c r="B537" s="178" t="s">
        <v>916</v>
      </c>
      <c r="C537" s="179" t="s">
        <v>745</v>
      </c>
      <c r="D537" s="179" t="s">
        <v>158</v>
      </c>
      <c r="E537" s="178">
        <v>240</v>
      </c>
      <c r="F537" s="279">
        <f>'приложение 5'!Q1054</f>
        <v>12817.2</v>
      </c>
      <c r="G537" s="279">
        <f>'приложение 5'!R1054</f>
        <v>0</v>
      </c>
      <c r="H537" s="279">
        <f>'приложение 5'!S1054</f>
        <v>0</v>
      </c>
    </row>
    <row r="538" spans="1:8" ht="47.25">
      <c r="A538" s="2" t="s">
        <v>299</v>
      </c>
      <c r="B538" s="178" t="s">
        <v>916</v>
      </c>
      <c r="C538" s="179" t="s">
        <v>745</v>
      </c>
      <c r="D538" s="179" t="s">
        <v>408</v>
      </c>
      <c r="E538" s="178">
        <v>240</v>
      </c>
      <c r="F538" s="279">
        <f>'приложение 5'!Q1078</f>
        <v>485</v>
      </c>
      <c r="G538" s="279">
        <f>'приложение 5'!R1078</f>
        <v>0</v>
      </c>
      <c r="H538" s="279">
        <f>'приложение 5'!S1078</f>
        <v>0</v>
      </c>
    </row>
    <row r="539" spans="1:8" ht="47.25">
      <c r="A539" s="2" t="s">
        <v>299</v>
      </c>
      <c r="B539" s="178" t="s">
        <v>916</v>
      </c>
      <c r="C539" s="179" t="s">
        <v>745</v>
      </c>
      <c r="D539" s="179" t="s">
        <v>173</v>
      </c>
      <c r="E539" s="178">
        <v>240</v>
      </c>
      <c r="F539" s="279">
        <f>'приложение 5'!Q1089</f>
        <v>289.9</v>
      </c>
      <c r="G539" s="279">
        <f>'приложение 5'!R1089</f>
        <v>0</v>
      </c>
      <c r="H539" s="279">
        <f>'приложение 5'!S1089</f>
        <v>0</v>
      </c>
    </row>
    <row r="540" spans="1:8" ht="63">
      <c r="A540" s="2" t="s">
        <v>374</v>
      </c>
      <c r="B540" s="178" t="s">
        <v>785</v>
      </c>
      <c r="C540" s="179"/>
      <c r="D540" s="179"/>
      <c r="E540" s="178"/>
      <c r="F540" s="279">
        <f>F541</f>
        <v>2371.1</v>
      </c>
      <c r="G540" s="279">
        <f>G541</f>
        <v>2371.1</v>
      </c>
      <c r="H540" s="279">
        <f>H541</f>
        <v>2371.1</v>
      </c>
    </row>
    <row r="541" spans="1:8" ht="31.5">
      <c r="A541" s="8" t="s">
        <v>204</v>
      </c>
      <c r="B541" s="178" t="s">
        <v>785</v>
      </c>
      <c r="C541" s="179" t="s">
        <v>745</v>
      </c>
      <c r="D541" s="179" t="s">
        <v>79</v>
      </c>
      <c r="E541" s="178">
        <v>120</v>
      </c>
      <c r="F541" s="279">
        <f>'приложение 5'!Q1015</f>
        <v>2371.1</v>
      </c>
      <c r="G541" s="279">
        <f>'приложение 5'!R1015</f>
        <v>2371.1</v>
      </c>
      <c r="H541" s="279">
        <f>'приложение 5'!S1015</f>
        <v>2371.1</v>
      </c>
    </row>
    <row r="542" spans="1:8" ht="63">
      <c r="A542" s="176" t="s">
        <v>560</v>
      </c>
      <c r="B542" s="178" t="s">
        <v>887</v>
      </c>
      <c r="C542" s="179"/>
      <c r="D542" s="179"/>
      <c r="E542" s="178"/>
      <c r="F542" s="279">
        <f>F543</f>
        <v>300.2</v>
      </c>
      <c r="G542" s="279">
        <f>G543</f>
        <v>330</v>
      </c>
      <c r="H542" s="279">
        <f>H543</f>
        <v>360.3</v>
      </c>
    </row>
    <row r="543" spans="1:8" ht="31.5">
      <c r="A543" s="8" t="s">
        <v>204</v>
      </c>
      <c r="B543" s="178" t="s">
        <v>887</v>
      </c>
      <c r="C543" s="179" t="s">
        <v>745</v>
      </c>
      <c r="D543" s="179" t="s">
        <v>774</v>
      </c>
      <c r="E543" s="178">
        <v>120</v>
      </c>
      <c r="F543" s="279">
        <f>'приложение 5'!Q1026</f>
        <v>300.2</v>
      </c>
      <c r="G543" s="279">
        <f>'приложение 5'!R1026</f>
        <v>330</v>
      </c>
      <c r="H543" s="279">
        <f>'приложение 5'!S1026</f>
        <v>360.3</v>
      </c>
    </row>
    <row r="544" spans="1:8" ht="94.5">
      <c r="A544" s="2" t="s">
        <v>570</v>
      </c>
      <c r="B544" s="178" t="s">
        <v>786</v>
      </c>
      <c r="C544" s="179"/>
      <c r="D544" s="179"/>
      <c r="E544" s="178"/>
      <c r="F544" s="279">
        <f>F545</f>
        <v>601.6</v>
      </c>
      <c r="G544" s="279">
        <f>G545</f>
        <v>0</v>
      </c>
      <c r="H544" s="279">
        <f>H545</f>
        <v>0</v>
      </c>
    </row>
    <row r="545" spans="1:8" ht="47.25">
      <c r="A545" s="2" t="s">
        <v>299</v>
      </c>
      <c r="B545" s="178" t="s">
        <v>786</v>
      </c>
      <c r="C545" s="179" t="s">
        <v>745</v>
      </c>
      <c r="D545" s="179" t="s">
        <v>408</v>
      </c>
      <c r="E545" s="178">
        <v>240</v>
      </c>
      <c r="F545" s="279">
        <f>'приложение 5'!Q1074</f>
        <v>601.6</v>
      </c>
      <c r="G545" s="279">
        <f>'приложение 5'!R1074</f>
        <v>0</v>
      </c>
      <c r="H545" s="279">
        <f>'приложение 5'!S1074</f>
        <v>0</v>
      </c>
    </row>
    <row r="546" spans="1:8" ht="15.75">
      <c r="A546" s="2" t="s">
        <v>548</v>
      </c>
      <c r="B546" s="178" t="s">
        <v>1085</v>
      </c>
      <c r="C546" s="179"/>
      <c r="D546" s="179"/>
      <c r="E546" s="178"/>
      <c r="F546" s="279">
        <f>F547</f>
        <v>280</v>
      </c>
      <c r="G546" s="279">
        <f>G547</f>
        <v>0</v>
      </c>
      <c r="H546" s="279">
        <f>H547</f>
        <v>0</v>
      </c>
    </row>
    <row r="547" spans="1:8" ht="47.25">
      <c r="A547" s="2" t="s">
        <v>299</v>
      </c>
      <c r="B547" s="178" t="s">
        <v>1085</v>
      </c>
      <c r="C547" s="179" t="s">
        <v>745</v>
      </c>
      <c r="D547" s="179" t="s">
        <v>408</v>
      </c>
      <c r="E547" s="178">
        <v>240</v>
      </c>
      <c r="F547" s="279">
        <f>'приложение 5'!Q1076</f>
        <v>280</v>
      </c>
      <c r="G547" s="279">
        <f>'приложение 5'!R1076</f>
        <v>0</v>
      </c>
      <c r="H547" s="279">
        <f>'приложение 5'!S1076</f>
        <v>0</v>
      </c>
    </row>
    <row r="548" spans="1:8" ht="15.75" hidden="1">
      <c r="A548" s="2" t="s">
        <v>556</v>
      </c>
      <c r="B548" s="178" t="s">
        <v>787</v>
      </c>
      <c r="C548" s="179"/>
      <c r="D548" s="179"/>
      <c r="E548" s="178"/>
      <c r="F548" s="279">
        <f>F549</f>
        <v>0</v>
      </c>
      <c r="G548" s="279">
        <f>G549</f>
        <v>0</v>
      </c>
      <c r="H548" s="279">
        <f>H549</f>
        <v>0</v>
      </c>
    </row>
    <row r="549" spans="1:8" ht="31.5" hidden="1">
      <c r="A549" s="12" t="s">
        <v>303</v>
      </c>
      <c r="B549" s="178" t="s">
        <v>787</v>
      </c>
      <c r="C549" s="179" t="s">
        <v>745</v>
      </c>
      <c r="D549" s="179" t="s">
        <v>411</v>
      </c>
      <c r="E549" s="178">
        <v>310</v>
      </c>
      <c r="F549" s="279">
        <f>'приложение 5'!Q1095</f>
        <v>0</v>
      </c>
      <c r="G549" s="279">
        <f>'приложение 5'!R1095</f>
        <v>0</v>
      </c>
      <c r="H549" s="279">
        <f>'приложение 5'!S1095</f>
        <v>0</v>
      </c>
    </row>
    <row r="550" spans="1:8" ht="31.5">
      <c r="A550" s="12" t="s">
        <v>462</v>
      </c>
      <c r="B550" s="178" t="s">
        <v>916</v>
      </c>
      <c r="C550" s="179"/>
      <c r="D550" s="179"/>
      <c r="E550" s="178"/>
      <c r="F550" s="279">
        <f>F551+F552</f>
        <v>1190</v>
      </c>
      <c r="G550" s="279">
        <f>G551+G552</f>
        <v>0</v>
      </c>
      <c r="H550" s="279">
        <f>H551+H552</f>
        <v>0</v>
      </c>
    </row>
    <row r="551" spans="1:8" ht="47.25">
      <c r="A551" s="2" t="s">
        <v>299</v>
      </c>
      <c r="B551" s="178" t="s">
        <v>916</v>
      </c>
      <c r="C551" s="179" t="s">
        <v>745</v>
      </c>
      <c r="D551" s="179" t="s">
        <v>98</v>
      </c>
      <c r="E551" s="178">
        <v>240</v>
      </c>
      <c r="F551" s="279">
        <f>'приложение 5'!Q1046</f>
        <v>1190</v>
      </c>
      <c r="G551" s="279">
        <f>'приложение 5'!R1046</f>
        <v>0</v>
      </c>
      <c r="H551" s="279">
        <f>'приложение 5'!S1046</f>
        <v>0</v>
      </c>
    </row>
    <row r="552" spans="1:8" ht="47.25" hidden="1">
      <c r="A552" s="2" t="s">
        <v>299</v>
      </c>
      <c r="B552" s="178" t="s">
        <v>916</v>
      </c>
      <c r="C552" s="179" t="s">
        <v>745</v>
      </c>
      <c r="D552" s="179" t="s">
        <v>158</v>
      </c>
      <c r="E552" s="178">
        <v>240</v>
      </c>
      <c r="F552" s="279">
        <f>'приложение 5'!Q1052</f>
        <v>0</v>
      </c>
      <c r="G552" s="279">
        <f>'приложение 5'!R1052</f>
        <v>0</v>
      </c>
      <c r="H552" s="279">
        <f>'приложение 5'!S1052</f>
        <v>0</v>
      </c>
    </row>
    <row r="553" spans="1:8" s="209" customFormat="1" ht="47.25">
      <c r="A553" s="261" t="s">
        <v>524</v>
      </c>
      <c r="B553" s="207" t="s">
        <v>788</v>
      </c>
      <c r="C553" s="208"/>
      <c r="D553" s="208"/>
      <c r="E553" s="207"/>
      <c r="F553" s="293">
        <f>F554+F558+F561+F564+F566+F568+F573+F556+F575</f>
        <v>11391</v>
      </c>
      <c r="G553" s="293">
        <f>G554+G558+G561+G564+G566+G568+G573+G556+G575</f>
        <v>8266.599999999999</v>
      </c>
      <c r="H553" s="293">
        <f>H554+H558+H561+H564+H566+H568+H573+H556+H575</f>
        <v>6884.299999999998</v>
      </c>
    </row>
    <row r="554" spans="1:8" ht="63">
      <c r="A554" s="8" t="s">
        <v>322</v>
      </c>
      <c r="B554" s="178" t="s">
        <v>789</v>
      </c>
      <c r="C554" s="182"/>
      <c r="D554" s="182"/>
      <c r="E554" s="155"/>
      <c r="F554" s="279">
        <f>F555</f>
        <v>3</v>
      </c>
      <c r="G554" s="279">
        <f>G555</f>
        <v>3.1</v>
      </c>
      <c r="H554" s="279">
        <f>H555</f>
        <v>20.2</v>
      </c>
    </row>
    <row r="555" spans="1:8" ht="47.25">
      <c r="A555" s="8" t="s">
        <v>299</v>
      </c>
      <c r="B555" s="178" t="s">
        <v>789</v>
      </c>
      <c r="C555" s="179" t="s">
        <v>616</v>
      </c>
      <c r="D555" s="179" t="s">
        <v>405</v>
      </c>
      <c r="E555" s="155">
        <v>240</v>
      </c>
      <c r="F555" s="279">
        <f>'приложение 5'!Q56</f>
        <v>3</v>
      </c>
      <c r="G555" s="279">
        <f>'приложение 5'!R56</f>
        <v>3.1</v>
      </c>
      <c r="H555" s="279">
        <f>'приложение 5'!S56</f>
        <v>20.2</v>
      </c>
    </row>
    <row r="556" spans="1:8" ht="78.75">
      <c r="A556" s="8" t="s">
        <v>829</v>
      </c>
      <c r="B556" s="178" t="s">
        <v>830</v>
      </c>
      <c r="C556" s="179"/>
      <c r="D556" s="179"/>
      <c r="E556" s="155"/>
      <c r="F556" s="279">
        <f>F557</f>
        <v>0</v>
      </c>
      <c r="G556" s="279">
        <f>G557</f>
        <v>1400</v>
      </c>
      <c r="H556" s="279">
        <f>H557</f>
        <v>0</v>
      </c>
    </row>
    <row r="557" spans="1:8" ht="31.5">
      <c r="A557" s="246" t="s">
        <v>304</v>
      </c>
      <c r="B557" s="178" t="s">
        <v>830</v>
      </c>
      <c r="C557" s="179" t="s">
        <v>616</v>
      </c>
      <c r="D557" s="179" t="s">
        <v>89</v>
      </c>
      <c r="E557" s="155">
        <v>320</v>
      </c>
      <c r="F557" s="279">
        <f>'приложение 5'!Q428</f>
        <v>0</v>
      </c>
      <c r="G557" s="279">
        <f>'приложение 5'!R428</f>
        <v>1400</v>
      </c>
      <c r="H557" s="279">
        <f>'приложение 5'!S428</f>
        <v>0</v>
      </c>
    </row>
    <row r="558" spans="1:8" ht="110.25">
      <c r="A558" s="22" t="s">
        <v>273</v>
      </c>
      <c r="B558" s="178" t="s">
        <v>790</v>
      </c>
      <c r="C558" s="182"/>
      <c r="D558" s="182"/>
      <c r="E558" s="155"/>
      <c r="F558" s="279">
        <f>F559+F560</f>
        <v>419</v>
      </c>
      <c r="G558" s="279">
        <f>G559+G560</f>
        <v>420.1</v>
      </c>
      <c r="H558" s="279">
        <f>H559+H560</f>
        <v>421.1</v>
      </c>
    </row>
    <row r="559" spans="1:8" ht="31.5">
      <c r="A559" s="22" t="s">
        <v>204</v>
      </c>
      <c r="B559" s="178" t="s">
        <v>790</v>
      </c>
      <c r="C559" s="179" t="s">
        <v>616</v>
      </c>
      <c r="D559" s="182" t="s">
        <v>87</v>
      </c>
      <c r="E559" s="155">
        <v>120</v>
      </c>
      <c r="F559" s="279">
        <f>'приложение 5'!Q89</f>
        <v>302.5</v>
      </c>
      <c r="G559" s="279">
        <f>'приложение 5'!R89</f>
        <v>302.5</v>
      </c>
      <c r="H559" s="279">
        <f>'приложение 5'!S89</f>
        <v>302.5</v>
      </c>
    </row>
    <row r="560" spans="1:8" ht="47.25">
      <c r="A560" s="22" t="s">
        <v>299</v>
      </c>
      <c r="B560" s="178" t="s">
        <v>790</v>
      </c>
      <c r="C560" s="179" t="s">
        <v>616</v>
      </c>
      <c r="D560" s="182" t="s">
        <v>87</v>
      </c>
      <c r="E560" s="155">
        <v>240</v>
      </c>
      <c r="F560" s="279">
        <f>'приложение 5'!Q90</f>
        <v>116.5</v>
      </c>
      <c r="G560" s="279">
        <f>'приложение 5'!R90</f>
        <v>117.6</v>
      </c>
      <c r="H560" s="279">
        <f>'приложение 5'!S90</f>
        <v>118.6</v>
      </c>
    </row>
    <row r="561" spans="1:8" ht="31.5">
      <c r="A561" s="1" t="s">
        <v>342</v>
      </c>
      <c r="B561" s="178" t="s">
        <v>791</v>
      </c>
      <c r="C561" s="182" t="s">
        <v>262</v>
      </c>
      <c r="D561" s="182" t="s">
        <v>262</v>
      </c>
      <c r="E561" s="155"/>
      <c r="F561" s="279">
        <f>F562+F563</f>
        <v>926.8</v>
      </c>
      <c r="G561" s="279">
        <f>G562+G563</f>
        <v>976.8</v>
      </c>
      <c r="H561" s="279">
        <f>H562+H563</f>
        <v>976.8</v>
      </c>
    </row>
    <row r="562" spans="1:8" ht="31.5">
      <c r="A562" s="22" t="s">
        <v>204</v>
      </c>
      <c r="B562" s="178" t="s">
        <v>791</v>
      </c>
      <c r="C562" s="179" t="s">
        <v>616</v>
      </c>
      <c r="D562" s="182" t="s">
        <v>87</v>
      </c>
      <c r="E562" s="155">
        <v>120</v>
      </c>
      <c r="F562" s="279">
        <f>'приложение 5'!Q92</f>
        <v>605.4</v>
      </c>
      <c r="G562" s="279">
        <f>'приложение 5'!R92</f>
        <v>605.4</v>
      </c>
      <c r="H562" s="279">
        <f>'приложение 5'!S92</f>
        <v>605.4</v>
      </c>
    </row>
    <row r="563" spans="1:8" ht="47.25">
      <c r="A563" s="2" t="s">
        <v>299</v>
      </c>
      <c r="B563" s="178" t="s">
        <v>791</v>
      </c>
      <c r="C563" s="179" t="s">
        <v>616</v>
      </c>
      <c r="D563" s="182" t="s">
        <v>87</v>
      </c>
      <c r="E563" s="155">
        <v>240</v>
      </c>
      <c r="F563" s="279">
        <f>'приложение 5'!Q93</f>
        <v>321.4</v>
      </c>
      <c r="G563" s="279">
        <f>'приложение 5'!R93</f>
        <v>371.4</v>
      </c>
      <c r="H563" s="279">
        <f>'приложение 5'!S93</f>
        <v>371.4</v>
      </c>
    </row>
    <row r="564" spans="1:8" ht="47.25">
      <c r="A564" s="20" t="s">
        <v>451</v>
      </c>
      <c r="B564" s="178" t="s">
        <v>792</v>
      </c>
      <c r="C564" s="182"/>
      <c r="D564" s="182"/>
      <c r="E564" s="155"/>
      <c r="F564" s="279">
        <f>F565</f>
        <v>4630.3</v>
      </c>
      <c r="G564" s="279">
        <f>G565</f>
        <v>3626.7</v>
      </c>
      <c r="H564" s="279">
        <f>H565</f>
        <v>3626.7</v>
      </c>
    </row>
    <row r="565" spans="1:8" ht="47.25">
      <c r="A565" s="20" t="s">
        <v>299</v>
      </c>
      <c r="B565" s="178" t="s">
        <v>792</v>
      </c>
      <c r="C565" s="179" t="s">
        <v>616</v>
      </c>
      <c r="D565" s="182" t="s">
        <v>407</v>
      </c>
      <c r="E565" s="155">
        <v>240</v>
      </c>
      <c r="F565" s="279">
        <f>'приложение 5'!Q161</f>
        <v>4630.3</v>
      </c>
      <c r="G565" s="279">
        <f>'приложение 5'!R161</f>
        <v>3626.7</v>
      </c>
      <c r="H565" s="279">
        <f>'приложение 5'!S161</f>
        <v>3626.7</v>
      </c>
    </row>
    <row r="566" spans="1:8" ht="110.25">
      <c r="A566" s="2" t="s">
        <v>325</v>
      </c>
      <c r="B566" s="178" t="s">
        <v>793</v>
      </c>
      <c r="C566" s="182"/>
      <c r="D566" s="182"/>
      <c r="E566" s="155"/>
      <c r="F566" s="279">
        <f>F567</f>
        <v>14.4</v>
      </c>
      <c r="G566" s="279">
        <f>G567</f>
        <v>14.4</v>
      </c>
      <c r="H566" s="279">
        <f>H567</f>
        <v>14.4</v>
      </c>
    </row>
    <row r="567" spans="1:8" ht="47.25">
      <c r="A567" s="2" t="s">
        <v>299</v>
      </c>
      <c r="B567" s="178" t="s">
        <v>793</v>
      </c>
      <c r="C567" s="179" t="s">
        <v>616</v>
      </c>
      <c r="D567" s="182" t="s">
        <v>409</v>
      </c>
      <c r="E567" s="155">
        <v>240</v>
      </c>
      <c r="F567" s="279">
        <f>'приложение 5'!Q324</f>
        <v>14.4</v>
      </c>
      <c r="G567" s="279">
        <f>'приложение 5'!R324</f>
        <v>14.4</v>
      </c>
      <c r="H567" s="279">
        <f>'приложение 5'!S324</f>
        <v>14.4</v>
      </c>
    </row>
    <row r="568" spans="1:8" ht="31.5">
      <c r="A568" s="108" t="s">
        <v>342</v>
      </c>
      <c r="B568" s="178" t="s">
        <v>791</v>
      </c>
      <c r="C568" s="182"/>
      <c r="D568" s="182"/>
      <c r="E568" s="155"/>
      <c r="F568" s="279">
        <f>F569+F571+F570+F572</f>
        <v>1576.6999999999998</v>
      </c>
      <c r="G568" s="279">
        <f>G569+G571+G570+G572</f>
        <v>1576.6999999999998</v>
      </c>
      <c r="H568" s="279">
        <f>H569+H571+H570+H572</f>
        <v>1576.2999999999997</v>
      </c>
    </row>
    <row r="569" spans="1:8" ht="31.5">
      <c r="A569" s="1" t="s">
        <v>204</v>
      </c>
      <c r="B569" s="178" t="s">
        <v>791</v>
      </c>
      <c r="C569" s="179" t="s">
        <v>616</v>
      </c>
      <c r="D569" s="182" t="s">
        <v>99</v>
      </c>
      <c r="E569" s="155">
        <v>120</v>
      </c>
      <c r="F569" s="279">
        <f>'приложение 5'!Q340</f>
        <v>74.3</v>
      </c>
      <c r="G569" s="279">
        <f>'приложение 5'!R340</f>
        <v>60.1</v>
      </c>
      <c r="H569" s="279">
        <f>'приложение 5'!S340</f>
        <v>60.1</v>
      </c>
    </row>
    <row r="570" spans="1:8" ht="47.25">
      <c r="A570" s="1" t="str">
        <f>A574</f>
        <v>Иные закупки товаров, работ и услуг для обеспечения государственных (муниципальных) нужд</v>
      </c>
      <c r="B570" s="178" t="s">
        <v>791</v>
      </c>
      <c r="C570" s="179" t="s">
        <v>616</v>
      </c>
      <c r="D570" s="179" t="s">
        <v>99</v>
      </c>
      <c r="E570" s="155">
        <v>240</v>
      </c>
      <c r="F570" s="279">
        <f>'приложение 5'!Q341</f>
        <v>10</v>
      </c>
      <c r="G570" s="279">
        <f>'приложение 5'!R341</f>
        <v>24.2</v>
      </c>
      <c r="H570" s="279">
        <f>'приложение 5'!S341</f>
        <v>23.8</v>
      </c>
    </row>
    <row r="571" spans="1:8" ht="31.5">
      <c r="A571" s="1" t="s">
        <v>204</v>
      </c>
      <c r="B571" s="178" t="s">
        <v>791</v>
      </c>
      <c r="C571" s="179" t="s">
        <v>616</v>
      </c>
      <c r="D571" s="179" t="s">
        <v>412</v>
      </c>
      <c r="E571" s="155">
        <v>120</v>
      </c>
      <c r="F571" s="279">
        <f>'приложение 5'!Q443</f>
        <v>1455.3999999999999</v>
      </c>
      <c r="G571" s="279">
        <f>'приложение 5'!R443</f>
        <v>1448.6</v>
      </c>
      <c r="H571" s="279">
        <f>'приложение 5'!S443</f>
        <v>1448.6</v>
      </c>
    </row>
    <row r="572" spans="1:8" ht="31.5">
      <c r="A572" s="1" t="s">
        <v>204</v>
      </c>
      <c r="B572" s="178" t="s">
        <v>791</v>
      </c>
      <c r="C572" s="179" t="s">
        <v>616</v>
      </c>
      <c r="D572" s="179" t="s">
        <v>412</v>
      </c>
      <c r="E572" s="155">
        <v>240</v>
      </c>
      <c r="F572" s="279">
        <f>'приложение 5'!Q444</f>
        <v>37</v>
      </c>
      <c r="G572" s="279">
        <f>'приложение 5'!R444</f>
        <v>43.8</v>
      </c>
      <c r="H572" s="279">
        <f>'приложение 5'!S444</f>
        <v>43.8</v>
      </c>
    </row>
    <row r="573" spans="1:8" ht="94.5">
      <c r="A573" s="22" t="s">
        <v>298</v>
      </c>
      <c r="B573" s="178" t="s">
        <v>794</v>
      </c>
      <c r="C573" s="182"/>
      <c r="D573" s="182"/>
      <c r="E573" s="155"/>
      <c r="F573" s="279">
        <f>F574</f>
        <v>248.8</v>
      </c>
      <c r="G573" s="279">
        <f>G574</f>
        <v>248.8</v>
      </c>
      <c r="H573" s="279">
        <f>H574</f>
        <v>248.8</v>
      </c>
    </row>
    <row r="574" spans="1:8" ht="47.25">
      <c r="A574" s="22" t="s">
        <v>299</v>
      </c>
      <c r="B574" s="178" t="s">
        <v>794</v>
      </c>
      <c r="C574" s="179" t="s">
        <v>616</v>
      </c>
      <c r="D574" s="182" t="s">
        <v>410</v>
      </c>
      <c r="E574" s="155">
        <v>240</v>
      </c>
      <c r="F574" s="279">
        <f>'приложение 5'!Q407</f>
        <v>248.8</v>
      </c>
      <c r="G574" s="279">
        <f>'приложение 5'!R407</f>
        <v>248.8</v>
      </c>
      <c r="H574" s="279">
        <f>'приложение 5'!S407</f>
        <v>248.8</v>
      </c>
    </row>
    <row r="575" spans="1:8" ht="78.75">
      <c r="A575" s="8" t="s">
        <v>1010</v>
      </c>
      <c r="B575" s="178" t="s">
        <v>1011</v>
      </c>
      <c r="C575" s="179"/>
      <c r="D575" s="182"/>
      <c r="E575" s="155"/>
      <c r="F575" s="279">
        <f>F576</f>
        <v>3572</v>
      </c>
      <c r="G575" s="279">
        <f>G576</f>
        <v>0</v>
      </c>
      <c r="H575" s="279">
        <f>H576</f>
        <v>0</v>
      </c>
    </row>
    <row r="576" spans="1:8" ht="47.25">
      <c r="A576" s="8" t="s">
        <v>299</v>
      </c>
      <c r="B576" s="178" t="s">
        <v>1011</v>
      </c>
      <c r="C576" s="179" t="s">
        <v>616</v>
      </c>
      <c r="D576" s="179" t="s">
        <v>407</v>
      </c>
      <c r="E576" s="155">
        <v>240</v>
      </c>
      <c r="F576" s="279">
        <f>'приложение 5'!Q159</f>
        <v>3572</v>
      </c>
      <c r="G576" s="279">
        <f>'приложение 5'!R159</f>
        <v>0</v>
      </c>
      <c r="H576" s="279">
        <f>'приложение 5'!S159</f>
        <v>0</v>
      </c>
    </row>
    <row r="577" spans="1:8" s="209" customFormat="1" ht="47.25">
      <c r="A577" s="184" t="s">
        <v>525</v>
      </c>
      <c r="B577" s="207" t="s">
        <v>795</v>
      </c>
      <c r="C577" s="208"/>
      <c r="D577" s="208"/>
      <c r="E577" s="207"/>
      <c r="F577" s="293">
        <f>F578+F581+F583</f>
        <v>52327.1</v>
      </c>
      <c r="G577" s="293">
        <f>G578+G581+G583</f>
        <v>43141.600000000006</v>
      </c>
      <c r="H577" s="293">
        <f>H578+H581+H583</f>
        <v>44150.600000000006</v>
      </c>
    </row>
    <row r="578" spans="1:8" ht="31.5">
      <c r="A578" s="8" t="s">
        <v>62</v>
      </c>
      <c r="B578" s="178" t="s">
        <v>796</v>
      </c>
      <c r="C578" s="182"/>
      <c r="D578" s="182"/>
      <c r="E578" s="155"/>
      <c r="F578" s="279">
        <f>F579+F580</f>
        <v>35586.2</v>
      </c>
      <c r="G578" s="279">
        <f>G579+G580</f>
        <v>26400.7</v>
      </c>
      <c r="H578" s="279">
        <f>H579+H580</f>
        <v>27409.7</v>
      </c>
    </row>
    <row r="579" spans="1:8" ht="15.75">
      <c r="A579" s="8" t="s">
        <v>301</v>
      </c>
      <c r="B579" s="178" t="s">
        <v>796</v>
      </c>
      <c r="C579" s="179" t="s">
        <v>616</v>
      </c>
      <c r="D579" s="182" t="s">
        <v>87</v>
      </c>
      <c r="E579" s="155">
        <v>610</v>
      </c>
      <c r="F579" s="279">
        <f>'приложение 5'!Q96</f>
        <v>447</v>
      </c>
      <c r="G579" s="279">
        <f>'приложение 5'!R96</f>
        <v>300</v>
      </c>
      <c r="H579" s="279">
        <f>'приложение 5'!S96</f>
        <v>300</v>
      </c>
    </row>
    <row r="580" spans="1:8" ht="15.75">
      <c r="A580" s="8" t="s">
        <v>318</v>
      </c>
      <c r="B580" s="178" t="s">
        <v>796</v>
      </c>
      <c r="C580" s="179" t="s">
        <v>616</v>
      </c>
      <c r="D580" s="182" t="s">
        <v>87</v>
      </c>
      <c r="E580" s="155">
        <v>620</v>
      </c>
      <c r="F580" s="279">
        <f>'приложение 5'!Q97</f>
        <v>35139.2</v>
      </c>
      <c r="G580" s="279">
        <f>'приложение 5'!R97</f>
        <v>26100.7</v>
      </c>
      <c r="H580" s="279">
        <f>'приложение 5'!S97</f>
        <v>27109.7</v>
      </c>
    </row>
    <row r="581" spans="1:8" ht="63">
      <c r="A581" s="8" t="s">
        <v>374</v>
      </c>
      <c r="B581" s="178" t="s">
        <v>797</v>
      </c>
      <c r="C581" s="182"/>
      <c r="D581" s="182"/>
      <c r="E581" s="155"/>
      <c r="F581" s="279">
        <f>F582</f>
        <v>11780.1</v>
      </c>
      <c r="G581" s="279">
        <f>G582</f>
        <v>11780.1</v>
      </c>
      <c r="H581" s="279">
        <f>H582</f>
        <v>11780.1</v>
      </c>
    </row>
    <row r="582" spans="1:8" ht="15.75">
      <c r="A582" s="8" t="s">
        <v>318</v>
      </c>
      <c r="B582" s="178" t="s">
        <v>797</v>
      </c>
      <c r="C582" s="179" t="s">
        <v>616</v>
      </c>
      <c r="D582" s="182" t="s">
        <v>87</v>
      </c>
      <c r="E582" s="155">
        <v>620</v>
      </c>
      <c r="F582" s="279">
        <f>'приложение 5'!Q99</f>
        <v>11780.1</v>
      </c>
      <c r="G582" s="279">
        <f>'приложение 5'!R99</f>
        <v>11780.1</v>
      </c>
      <c r="H582" s="279">
        <f>'приложение 5'!S99</f>
        <v>11780.1</v>
      </c>
    </row>
    <row r="583" spans="1:8" ht="126">
      <c r="A583" s="8" t="s">
        <v>64</v>
      </c>
      <c r="B583" s="178" t="s">
        <v>798</v>
      </c>
      <c r="C583" s="182"/>
      <c r="D583" s="182"/>
      <c r="E583" s="155"/>
      <c r="F583" s="279">
        <f>F584</f>
        <v>4960.8</v>
      </c>
      <c r="G583" s="279">
        <f>G584</f>
        <v>4960.8</v>
      </c>
      <c r="H583" s="279">
        <f>H584</f>
        <v>4960.8</v>
      </c>
    </row>
    <row r="584" spans="1:8" ht="15.75">
      <c r="A584" s="8" t="s">
        <v>301</v>
      </c>
      <c r="B584" s="178" t="s">
        <v>798</v>
      </c>
      <c r="C584" s="179" t="s">
        <v>616</v>
      </c>
      <c r="D584" s="182" t="s">
        <v>87</v>
      </c>
      <c r="E584" s="155">
        <v>610</v>
      </c>
      <c r="F584" s="279">
        <f>'приложение 5'!Q101</f>
        <v>4960.8</v>
      </c>
      <c r="G584" s="279">
        <f>'приложение 5'!R101</f>
        <v>4960.8</v>
      </c>
      <c r="H584" s="279">
        <f>'приложение 5'!S101</f>
        <v>4960.8</v>
      </c>
    </row>
    <row r="585" spans="1:8" s="209" customFormat="1" ht="126">
      <c r="A585" s="8" t="s">
        <v>956</v>
      </c>
      <c r="B585" s="207" t="s">
        <v>802</v>
      </c>
      <c r="C585" s="208"/>
      <c r="D585" s="208"/>
      <c r="E585" s="207"/>
      <c r="F585" s="293">
        <f>F590+F592+F594+F586+F596+F598+F600</f>
        <v>17835</v>
      </c>
      <c r="G585" s="293">
        <f>G590+G592+G594+G586+G596+G598+G600</f>
        <v>4680</v>
      </c>
      <c r="H585" s="293">
        <f>H590+H592+H594+H586+H596+H598+H600</f>
        <v>4680</v>
      </c>
    </row>
    <row r="586" spans="1:8" s="209" customFormat="1" ht="31.5">
      <c r="A586" s="8" t="s">
        <v>384</v>
      </c>
      <c r="B586" s="178" t="s">
        <v>799</v>
      </c>
      <c r="C586" s="179"/>
      <c r="D586" s="179"/>
      <c r="E586" s="178"/>
      <c r="F586" s="279">
        <f>F587+F588+F589</f>
        <v>100</v>
      </c>
      <c r="G586" s="279">
        <f>G587+G588+G589</f>
        <v>100</v>
      </c>
      <c r="H586" s="279">
        <f>H587+H588+H589</f>
        <v>100</v>
      </c>
    </row>
    <row r="587" spans="1:8" s="209" customFormat="1" ht="15.75">
      <c r="A587" s="8" t="s">
        <v>301</v>
      </c>
      <c r="B587" s="178" t="s">
        <v>799</v>
      </c>
      <c r="C587" s="179" t="s">
        <v>616</v>
      </c>
      <c r="D587" s="179" t="s">
        <v>173</v>
      </c>
      <c r="E587" s="178">
        <v>610</v>
      </c>
      <c r="F587" s="279">
        <f>'приложение 5'!Q401</f>
        <v>19</v>
      </c>
      <c r="G587" s="279">
        <f>'приложение 5'!R401</f>
        <v>0</v>
      </c>
      <c r="H587" s="279">
        <f>'приложение 5'!S401</f>
        <v>0</v>
      </c>
    </row>
    <row r="588" spans="1:8" s="209" customFormat="1" ht="47.25">
      <c r="A588" s="2" t="s">
        <v>299</v>
      </c>
      <c r="B588" s="178" t="s">
        <v>799</v>
      </c>
      <c r="C588" s="179" t="s">
        <v>616</v>
      </c>
      <c r="D588" s="179" t="s">
        <v>412</v>
      </c>
      <c r="E588" s="178">
        <v>240</v>
      </c>
      <c r="F588" s="279">
        <f>'приложение 5'!Q447</f>
        <v>81</v>
      </c>
      <c r="G588" s="279">
        <f>'приложение 5'!R447</f>
        <v>100</v>
      </c>
      <c r="H588" s="279">
        <f>'приложение 5'!S447</f>
        <v>100</v>
      </c>
    </row>
    <row r="589" spans="1:8" s="209" customFormat="1" ht="15.75" hidden="1">
      <c r="A589" s="1" t="s">
        <v>911</v>
      </c>
      <c r="B589" s="178" t="s">
        <v>799</v>
      </c>
      <c r="C589" s="179" t="s">
        <v>616</v>
      </c>
      <c r="D589" s="179" t="s">
        <v>412</v>
      </c>
      <c r="E589" s="178">
        <v>350</v>
      </c>
      <c r="F589" s="279">
        <f>'приложение 5'!Q448</f>
        <v>0</v>
      </c>
      <c r="G589" s="279">
        <f>'приложение 5'!R448</f>
        <v>0</v>
      </c>
      <c r="H589" s="279">
        <f>'приложение 5'!S448</f>
        <v>0</v>
      </c>
    </row>
    <row r="590" spans="1:8" ht="15.75">
      <c r="A590" s="1" t="s">
        <v>556</v>
      </c>
      <c r="B590" s="178" t="s">
        <v>801</v>
      </c>
      <c r="C590" s="182"/>
      <c r="D590" s="182"/>
      <c r="E590" s="155"/>
      <c r="F590" s="279">
        <f>F591</f>
        <v>4130</v>
      </c>
      <c r="G590" s="279">
        <f>G591</f>
        <v>4130</v>
      </c>
      <c r="H590" s="279">
        <f>H591</f>
        <v>4130</v>
      </c>
    </row>
    <row r="591" spans="1:8" ht="31.5">
      <c r="A591" s="2" t="s">
        <v>303</v>
      </c>
      <c r="B591" s="178" t="s">
        <v>801</v>
      </c>
      <c r="C591" s="179" t="s">
        <v>616</v>
      </c>
      <c r="D591" s="179" t="s">
        <v>411</v>
      </c>
      <c r="E591" s="155">
        <v>310</v>
      </c>
      <c r="F591" s="279">
        <f>'приложение 5'!Q413</f>
        <v>4130</v>
      </c>
      <c r="G591" s="279">
        <f>'приложение 5'!R413</f>
        <v>4130</v>
      </c>
      <c r="H591" s="279">
        <f>'приложение 5'!S413</f>
        <v>4130</v>
      </c>
    </row>
    <row r="592" spans="1:8" ht="15.75">
      <c r="A592" s="2" t="s">
        <v>39</v>
      </c>
      <c r="B592" s="178" t="s">
        <v>800</v>
      </c>
      <c r="C592" s="179"/>
      <c r="D592" s="179"/>
      <c r="E592" s="155"/>
      <c r="F592" s="279">
        <f>F593</f>
        <v>450</v>
      </c>
      <c r="G592" s="279">
        <f>G593</f>
        <v>450</v>
      </c>
      <c r="H592" s="279">
        <f>H593</f>
        <v>450</v>
      </c>
    </row>
    <row r="593" spans="1:8" ht="31.5">
      <c r="A593" s="2" t="s">
        <v>303</v>
      </c>
      <c r="B593" s="178" t="s">
        <v>800</v>
      </c>
      <c r="C593" s="179" t="s">
        <v>616</v>
      </c>
      <c r="D593" s="182" t="s">
        <v>89</v>
      </c>
      <c r="E593" s="155">
        <v>310</v>
      </c>
      <c r="F593" s="279">
        <f>'приложение 5'!Q431</f>
        <v>450</v>
      </c>
      <c r="G593" s="279">
        <f>'приложение 5'!R431</f>
        <v>450</v>
      </c>
      <c r="H593" s="279">
        <f>'приложение 5'!S431</f>
        <v>450</v>
      </c>
    </row>
    <row r="594" spans="1:8" ht="31.5" hidden="1">
      <c r="A594" s="2" t="s">
        <v>384</v>
      </c>
      <c r="B594" s="178" t="s">
        <v>799</v>
      </c>
      <c r="C594" s="182"/>
      <c r="D594" s="182"/>
      <c r="E594" s="155"/>
      <c r="F594" s="279">
        <v>0</v>
      </c>
      <c r="G594" s="279">
        <v>0</v>
      </c>
      <c r="H594" s="279">
        <v>0</v>
      </c>
    </row>
    <row r="595" spans="1:8" ht="47.25" hidden="1">
      <c r="A595" s="121" t="s">
        <v>299</v>
      </c>
      <c r="B595" s="178" t="s">
        <v>799</v>
      </c>
      <c r="C595" s="179" t="s">
        <v>616</v>
      </c>
      <c r="D595" s="182" t="s">
        <v>412</v>
      </c>
      <c r="E595" s="155">
        <v>240</v>
      </c>
      <c r="F595" s="279">
        <v>0</v>
      </c>
      <c r="G595" s="279">
        <v>0</v>
      </c>
      <c r="H595" s="279">
        <v>0</v>
      </c>
    </row>
    <row r="596" spans="1:8" ht="47.25">
      <c r="A596" s="2" t="s">
        <v>955</v>
      </c>
      <c r="B596" s="178" t="s">
        <v>957</v>
      </c>
      <c r="C596" s="179" t="s">
        <v>616</v>
      </c>
      <c r="D596" s="182" t="s">
        <v>89</v>
      </c>
      <c r="E596" s="155"/>
      <c r="F596" s="279">
        <f>F597</f>
        <v>12680</v>
      </c>
      <c r="G596" s="279">
        <f>G597</f>
        <v>0</v>
      </c>
      <c r="H596" s="279">
        <f>H597</f>
        <v>0</v>
      </c>
    </row>
    <row r="597" spans="1:8" ht="31.5">
      <c r="A597" s="2" t="s">
        <v>304</v>
      </c>
      <c r="B597" s="178" t="s">
        <v>957</v>
      </c>
      <c r="C597" s="179" t="s">
        <v>616</v>
      </c>
      <c r="D597" s="182" t="s">
        <v>89</v>
      </c>
      <c r="E597" s="155">
        <v>320</v>
      </c>
      <c r="F597" s="279">
        <f>'приложение 5'!Q434</f>
        <v>12680</v>
      </c>
      <c r="G597" s="279">
        <f>'приложение 5'!R434</f>
        <v>0</v>
      </c>
      <c r="H597" s="279">
        <f>'приложение 5'!S434</f>
        <v>0</v>
      </c>
    </row>
    <row r="598" spans="1:8" ht="63">
      <c r="A598" s="25" t="s">
        <v>1042</v>
      </c>
      <c r="B598" s="178" t="s">
        <v>1043</v>
      </c>
      <c r="C598" s="179"/>
      <c r="D598" s="182"/>
      <c r="E598" s="155"/>
      <c r="F598" s="279">
        <f>F599</f>
        <v>350</v>
      </c>
      <c r="G598" s="279">
        <f>G599</f>
        <v>0</v>
      </c>
      <c r="H598" s="279">
        <f>H599</f>
        <v>0</v>
      </c>
    </row>
    <row r="599" spans="1:8" ht="31.5">
      <c r="A599" s="25" t="s">
        <v>304</v>
      </c>
      <c r="B599" s="178" t="s">
        <v>1043</v>
      </c>
      <c r="C599" s="179" t="s">
        <v>616</v>
      </c>
      <c r="D599" s="179" t="s">
        <v>89</v>
      </c>
      <c r="E599" s="155">
        <v>320</v>
      </c>
      <c r="F599" s="279">
        <f>'приложение 5'!Q436</f>
        <v>350</v>
      </c>
      <c r="G599" s="279">
        <f>'приложение 5'!R436</f>
        <v>0</v>
      </c>
      <c r="H599" s="279">
        <f>'приложение 5'!S436</f>
        <v>0</v>
      </c>
    </row>
    <row r="600" spans="1:8" ht="47.25">
      <c r="A600" s="25" t="s">
        <v>1079</v>
      </c>
      <c r="B600" s="178" t="s">
        <v>1080</v>
      </c>
      <c r="C600" s="179"/>
      <c r="D600" s="179"/>
      <c r="E600" s="155"/>
      <c r="F600" s="279">
        <f>F601</f>
        <v>125</v>
      </c>
      <c r="G600" s="279">
        <f>G601</f>
        <v>0</v>
      </c>
      <c r="H600" s="279">
        <f>H601</f>
        <v>0</v>
      </c>
    </row>
    <row r="601" spans="1:8" ht="31.5">
      <c r="A601" s="25" t="s">
        <v>304</v>
      </c>
      <c r="B601" s="178" t="s">
        <v>1080</v>
      </c>
      <c r="C601" s="179" t="s">
        <v>616</v>
      </c>
      <c r="D601" s="179" t="s">
        <v>89</v>
      </c>
      <c r="E601" s="155">
        <v>320</v>
      </c>
      <c r="F601" s="279">
        <f>'приложение 5'!Q438</f>
        <v>125</v>
      </c>
      <c r="G601" s="279">
        <f>'приложение 5'!R438</f>
        <v>0</v>
      </c>
      <c r="H601" s="279">
        <f>'приложение 5'!S438</f>
        <v>0</v>
      </c>
    </row>
    <row r="602" spans="1:8" ht="47.25">
      <c r="A602" s="2" t="s">
        <v>966</v>
      </c>
      <c r="B602" s="178" t="s">
        <v>1091</v>
      </c>
      <c r="C602" s="179"/>
      <c r="D602" s="179"/>
      <c r="E602" s="155"/>
      <c r="F602" s="279">
        <f aca="true" t="shared" si="28" ref="F602:H603">F603</f>
        <v>2200</v>
      </c>
      <c r="G602" s="279">
        <f t="shared" si="28"/>
        <v>2400</v>
      </c>
      <c r="H602" s="279">
        <f t="shared" si="28"/>
        <v>2400</v>
      </c>
    </row>
    <row r="603" spans="1:8" ht="31.5">
      <c r="A603" s="2" t="s">
        <v>470</v>
      </c>
      <c r="B603" s="178" t="s">
        <v>1090</v>
      </c>
      <c r="C603" s="179"/>
      <c r="D603" s="179"/>
      <c r="E603" s="155"/>
      <c r="F603" s="279">
        <f t="shared" si="28"/>
        <v>2200</v>
      </c>
      <c r="G603" s="279">
        <f t="shared" si="28"/>
        <v>2400</v>
      </c>
      <c r="H603" s="279">
        <f t="shared" si="28"/>
        <v>2400</v>
      </c>
    </row>
    <row r="604" spans="1:8" ht="63">
      <c r="A604" s="2" t="s">
        <v>449</v>
      </c>
      <c r="B604" s="178" t="s">
        <v>1090</v>
      </c>
      <c r="C604" s="179" t="s">
        <v>616</v>
      </c>
      <c r="D604" s="179" t="s">
        <v>969</v>
      </c>
      <c r="E604" s="155">
        <v>630</v>
      </c>
      <c r="F604" s="279">
        <f>'приложение 5'!Q490</f>
        <v>2200</v>
      </c>
      <c r="G604" s="279">
        <f>'приложение 5'!R490</f>
        <v>2400</v>
      </c>
      <c r="H604" s="279">
        <f>'приложение 5'!S490</f>
        <v>2400</v>
      </c>
    </row>
    <row r="605" spans="1:8" ht="63">
      <c r="A605" s="259" t="s">
        <v>557</v>
      </c>
      <c r="B605" s="197" t="s">
        <v>803</v>
      </c>
      <c r="C605" s="204"/>
      <c r="D605" s="204"/>
      <c r="E605" s="197"/>
      <c r="F605" s="291">
        <f>F606+F609</f>
        <v>50</v>
      </c>
      <c r="G605" s="291">
        <f>G606+G609</f>
        <v>50</v>
      </c>
      <c r="H605" s="291">
        <f>H606+H609</f>
        <v>50</v>
      </c>
    </row>
    <row r="606" spans="1:8" ht="63">
      <c r="A606" s="8" t="s">
        <v>958</v>
      </c>
      <c r="B606" s="178" t="s">
        <v>959</v>
      </c>
      <c r="C606" s="182"/>
      <c r="D606" s="182"/>
      <c r="E606" s="155"/>
      <c r="F606" s="279">
        <f aca="true" t="shared" si="29" ref="F606:H607">F607</f>
        <v>50</v>
      </c>
      <c r="G606" s="279">
        <f t="shared" si="29"/>
        <v>50</v>
      </c>
      <c r="H606" s="279">
        <f t="shared" si="29"/>
        <v>50</v>
      </c>
    </row>
    <row r="607" spans="1:8" ht="31.5">
      <c r="A607" s="1" t="s">
        <v>470</v>
      </c>
      <c r="B607" s="178" t="s">
        <v>960</v>
      </c>
      <c r="C607" s="182"/>
      <c r="D607" s="182"/>
      <c r="E607" s="155"/>
      <c r="F607" s="279">
        <f>F608</f>
        <v>50</v>
      </c>
      <c r="G607" s="279">
        <f t="shared" si="29"/>
        <v>50</v>
      </c>
      <c r="H607" s="279">
        <f t="shared" si="29"/>
        <v>50</v>
      </c>
    </row>
    <row r="608" spans="1:8" ht="63">
      <c r="A608" s="176" t="s">
        <v>449</v>
      </c>
      <c r="B608" s="178" t="s">
        <v>960</v>
      </c>
      <c r="C608" s="179" t="s">
        <v>616</v>
      </c>
      <c r="D608" s="179" t="s">
        <v>412</v>
      </c>
      <c r="E608" s="155">
        <v>630</v>
      </c>
      <c r="F608" s="279">
        <f>'приложение 5'!Q449</f>
        <v>50</v>
      </c>
      <c r="G608" s="279">
        <f>'приложение 5'!R449</f>
        <v>50</v>
      </c>
      <c r="H608" s="279">
        <f>'приложение 5'!S449</f>
        <v>50</v>
      </c>
    </row>
    <row r="609" spans="1:8" ht="47.25" hidden="1">
      <c r="A609" s="176" t="s">
        <v>966</v>
      </c>
      <c r="B609" s="178" t="s">
        <v>967</v>
      </c>
      <c r="C609" s="182"/>
      <c r="D609" s="182"/>
      <c r="E609" s="155"/>
      <c r="F609" s="279">
        <f aca="true" t="shared" si="30" ref="F609:H610">F610</f>
        <v>0</v>
      </c>
      <c r="G609" s="279">
        <f t="shared" si="30"/>
        <v>0</v>
      </c>
      <c r="H609" s="279">
        <f t="shared" si="30"/>
        <v>0</v>
      </c>
    </row>
    <row r="610" spans="1:8" ht="31.5" hidden="1">
      <c r="A610" s="176" t="s">
        <v>470</v>
      </c>
      <c r="B610" s="178" t="s">
        <v>968</v>
      </c>
      <c r="C610" s="182"/>
      <c r="D610" s="182"/>
      <c r="E610" s="155"/>
      <c r="F610" s="279">
        <f t="shared" si="30"/>
        <v>0</v>
      </c>
      <c r="G610" s="279">
        <f t="shared" si="30"/>
        <v>0</v>
      </c>
      <c r="H610" s="279">
        <f t="shared" si="30"/>
        <v>0</v>
      </c>
    </row>
    <row r="611" spans="1:8" ht="63" hidden="1">
      <c r="A611" s="8" t="s">
        <v>449</v>
      </c>
      <c r="B611" s="178" t="s">
        <v>968</v>
      </c>
      <c r="C611" s="179" t="s">
        <v>616</v>
      </c>
      <c r="D611" s="179" t="s">
        <v>969</v>
      </c>
      <c r="E611" s="155">
        <v>630</v>
      </c>
      <c r="F611" s="279">
        <f>'приложение 5'!Q494</f>
        <v>0</v>
      </c>
      <c r="G611" s="279">
        <f>'приложение 5'!R494</f>
        <v>0</v>
      </c>
      <c r="H611" s="279">
        <f>'приложение 5'!S494</f>
        <v>0</v>
      </c>
    </row>
    <row r="612" spans="1:8" ht="63">
      <c r="A612" s="80" t="s">
        <v>540</v>
      </c>
      <c r="B612" s="197" t="s">
        <v>460</v>
      </c>
      <c r="C612" s="204"/>
      <c r="D612" s="204"/>
      <c r="E612" s="197"/>
      <c r="F612" s="291">
        <f>F613+F623+F626+F636+F641+F645+F647+F650+F653</f>
        <v>14357.900000000001</v>
      </c>
      <c r="G612" s="291">
        <f>G613+G623+G626+G636+G641+G645+G647+G650+G653</f>
        <v>10201.3</v>
      </c>
      <c r="H612" s="291">
        <f>H613+H623+H626+H636+H641+H645+H647+H650+H653</f>
        <v>5118</v>
      </c>
    </row>
    <row r="613" spans="1:8" ht="94.5">
      <c r="A613" s="2" t="s">
        <v>851</v>
      </c>
      <c r="B613" s="178" t="s">
        <v>804</v>
      </c>
      <c r="C613" s="179"/>
      <c r="D613" s="179"/>
      <c r="E613" s="178"/>
      <c r="F613" s="279">
        <f>F614</f>
        <v>2028.4</v>
      </c>
      <c r="G613" s="279">
        <f>G614</f>
        <v>1700</v>
      </c>
      <c r="H613" s="279">
        <f>H614</f>
        <v>1700</v>
      </c>
    </row>
    <row r="614" spans="1:8" ht="47.25">
      <c r="A614" s="2" t="s">
        <v>572</v>
      </c>
      <c r="B614" s="178" t="s">
        <v>805</v>
      </c>
      <c r="C614" s="179"/>
      <c r="D614" s="179"/>
      <c r="E614" s="178"/>
      <c r="F614" s="279">
        <f>F617+F619+F621+F616+F615+F620+F622+F618</f>
        <v>2028.4</v>
      </c>
      <c r="G614" s="279">
        <f>G617+G619+G621+G616+G615+G620+G622+G618</f>
        <v>1700</v>
      </c>
      <c r="H614" s="279">
        <f>H617+H619+H621+H616+H615+H620+H622+H618</f>
        <v>1700</v>
      </c>
    </row>
    <row r="615" spans="1:8" ht="47.25" hidden="1">
      <c r="A615" s="2" t="str">
        <f>A617</f>
        <v>Иные закупки товаров, работ и услуг для обеспечения государственных (муниципальных) нужд</v>
      </c>
      <c r="B615" s="178" t="s">
        <v>805</v>
      </c>
      <c r="C615" s="179" t="s">
        <v>616</v>
      </c>
      <c r="D615" s="179" t="s">
        <v>408</v>
      </c>
      <c r="E615" s="178">
        <v>240</v>
      </c>
      <c r="F615" s="279">
        <f>'приложение 5'!Q306</f>
        <v>0</v>
      </c>
      <c r="G615" s="279">
        <f>'приложение 5'!R306</f>
        <v>0</v>
      </c>
      <c r="H615" s="279">
        <f>'приложение 5'!S306</f>
        <v>0</v>
      </c>
    </row>
    <row r="616" spans="1:8" ht="15.75" hidden="1">
      <c r="A616" s="2" t="str">
        <f>A470</f>
        <v>Уплата налогов, сборов и иных платежей</v>
      </c>
      <c r="B616" s="178" t="s">
        <v>805</v>
      </c>
      <c r="C616" s="179" t="s">
        <v>616</v>
      </c>
      <c r="D616" s="179" t="s">
        <v>408</v>
      </c>
      <c r="E616" s="178">
        <v>850</v>
      </c>
      <c r="F616" s="279">
        <f>'приложение 5'!Q307</f>
        <v>0</v>
      </c>
      <c r="G616" s="279">
        <f>'приложение 5'!R307</f>
        <v>0</v>
      </c>
      <c r="H616" s="279">
        <f>'приложение 5'!S307</f>
        <v>0</v>
      </c>
    </row>
    <row r="617" spans="1:8" ht="47.25">
      <c r="A617" s="2" t="s">
        <v>299</v>
      </c>
      <c r="B617" s="178" t="s">
        <v>805</v>
      </c>
      <c r="C617" s="179" t="s">
        <v>735</v>
      </c>
      <c r="D617" s="179" t="s">
        <v>408</v>
      </c>
      <c r="E617" s="178">
        <v>240</v>
      </c>
      <c r="F617" s="279">
        <f>'приложение 5'!Q647</f>
        <v>35</v>
      </c>
      <c r="G617" s="279">
        <f>'приложение 5'!R647</f>
        <v>1700</v>
      </c>
      <c r="H617" s="279">
        <f>'приложение 5'!S647</f>
        <v>1700</v>
      </c>
    </row>
    <row r="618" spans="1:8" ht="15.75">
      <c r="A618" s="2" t="s">
        <v>301</v>
      </c>
      <c r="B618" s="178" t="s">
        <v>805</v>
      </c>
      <c r="C618" s="179" t="s">
        <v>735</v>
      </c>
      <c r="D618" s="179" t="s">
        <v>408</v>
      </c>
      <c r="E618" s="178">
        <v>610</v>
      </c>
      <c r="F618" s="279">
        <f>'приложение 5'!Q648</f>
        <v>1870.5</v>
      </c>
      <c r="G618" s="279">
        <f>'приложение 5'!R648</f>
        <v>0</v>
      </c>
      <c r="H618" s="279">
        <f>'приложение 5'!S648</f>
        <v>0</v>
      </c>
    </row>
    <row r="619" spans="1:8" ht="47.25">
      <c r="A619" s="2" t="s">
        <v>299</v>
      </c>
      <c r="B619" s="178" t="s">
        <v>805</v>
      </c>
      <c r="C619" s="179" t="s">
        <v>592</v>
      </c>
      <c r="D619" s="179" t="s">
        <v>408</v>
      </c>
      <c r="E619" s="178">
        <v>240</v>
      </c>
      <c r="F619" s="279">
        <f>'приложение 5'!Q991</f>
        <v>70</v>
      </c>
      <c r="G619" s="279">
        <f>'приложение 5'!R991</f>
        <v>0</v>
      </c>
      <c r="H619" s="279">
        <f>'приложение 5'!S991</f>
        <v>0</v>
      </c>
    </row>
    <row r="620" spans="1:8" ht="15.75">
      <c r="A620" s="2" t="str">
        <f>A616</f>
        <v>Уплата налогов, сборов и иных платежей</v>
      </c>
      <c r="B620" s="178" t="s">
        <v>805</v>
      </c>
      <c r="C620" s="179" t="s">
        <v>592</v>
      </c>
      <c r="D620" s="179" t="s">
        <v>408</v>
      </c>
      <c r="E620" s="178">
        <v>850</v>
      </c>
      <c r="F620" s="279">
        <f>'приложение 5'!Q992</f>
        <v>1.7</v>
      </c>
      <c r="G620" s="279">
        <v>0</v>
      </c>
      <c r="H620" s="279">
        <v>0</v>
      </c>
    </row>
    <row r="621" spans="1:8" ht="47.25">
      <c r="A621" s="2" t="s">
        <v>299</v>
      </c>
      <c r="B621" s="178" t="s">
        <v>805</v>
      </c>
      <c r="C621" s="179" t="s">
        <v>745</v>
      </c>
      <c r="D621" s="179" t="s">
        <v>408</v>
      </c>
      <c r="E621" s="178">
        <v>240</v>
      </c>
      <c r="F621" s="279">
        <f>'приложение 5'!Q1082</f>
        <v>50.900000000000006</v>
      </c>
      <c r="G621" s="279">
        <f>'приложение 5'!R1082</f>
        <v>0</v>
      </c>
      <c r="H621" s="279">
        <f>'приложение 5'!S1082</f>
        <v>0</v>
      </c>
    </row>
    <row r="622" spans="1:8" ht="15.75">
      <c r="A622" s="2" t="str">
        <f>A616</f>
        <v>Уплата налогов, сборов и иных платежей</v>
      </c>
      <c r="B622" s="178" t="s">
        <v>805</v>
      </c>
      <c r="C622" s="179" t="s">
        <v>745</v>
      </c>
      <c r="D622" s="179" t="s">
        <v>408</v>
      </c>
      <c r="E622" s="178">
        <v>850</v>
      </c>
      <c r="F622" s="279">
        <f>'приложение 5'!Q1083</f>
        <v>0.3</v>
      </c>
      <c r="G622" s="279">
        <v>0</v>
      </c>
      <c r="H622" s="279">
        <v>0</v>
      </c>
    </row>
    <row r="623" spans="1:8" ht="47.25">
      <c r="A623" s="2" t="s">
        <v>541</v>
      </c>
      <c r="B623" s="178" t="s">
        <v>806</v>
      </c>
      <c r="C623" s="179"/>
      <c r="D623" s="179"/>
      <c r="E623" s="178"/>
      <c r="F623" s="279">
        <f aca="true" t="shared" si="31" ref="F623:H624">F624</f>
        <v>668.4999999999999</v>
      </c>
      <c r="G623" s="279">
        <f t="shared" si="31"/>
        <v>518</v>
      </c>
      <c r="H623" s="279">
        <f t="shared" si="31"/>
        <v>518</v>
      </c>
    </row>
    <row r="624" spans="1:8" ht="31.5">
      <c r="A624" s="2" t="s">
        <v>542</v>
      </c>
      <c r="B624" s="178" t="s">
        <v>807</v>
      </c>
      <c r="C624" s="179"/>
      <c r="D624" s="179"/>
      <c r="E624" s="178"/>
      <c r="F624" s="279">
        <f t="shared" si="31"/>
        <v>668.4999999999999</v>
      </c>
      <c r="G624" s="279">
        <f t="shared" si="31"/>
        <v>518</v>
      </c>
      <c r="H624" s="279">
        <f t="shared" si="31"/>
        <v>518</v>
      </c>
    </row>
    <row r="625" spans="1:8" ht="47.25">
      <c r="A625" s="2" t="s">
        <v>299</v>
      </c>
      <c r="B625" s="178" t="s">
        <v>807</v>
      </c>
      <c r="C625" s="179" t="s">
        <v>616</v>
      </c>
      <c r="D625" s="179" t="s">
        <v>98</v>
      </c>
      <c r="E625" s="178">
        <v>240</v>
      </c>
      <c r="F625" s="279">
        <f>'приложение 5'!Q252</f>
        <v>668.4999999999999</v>
      </c>
      <c r="G625" s="279">
        <f>'приложение 5'!R252</f>
        <v>518</v>
      </c>
      <c r="H625" s="279">
        <f>'приложение 5'!S252</f>
        <v>518</v>
      </c>
    </row>
    <row r="626" spans="1:8" ht="47.25">
      <c r="A626" s="25" t="s">
        <v>1037</v>
      </c>
      <c r="B626" s="178" t="s">
        <v>808</v>
      </c>
      <c r="C626" s="179"/>
      <c r="D626" s="179"/>
      <c r="E626" s="178"/>
      <c r="F626" s="279">
        <f>F627+F632+F634+F630</f>
        <v>5381.8</v>
      </c>
      <c r="G626" s="279">
        <f>G627+G632+G634+G630</f>
        <v>5083.3</v>
      </c>
      <c r="H626" s="279">
        <f>H627+H632+H634+H630</f>
        <v>0</v>
      </c>
    </row>
    <row r="627" spans="1:8" ht="15.75">
      <c r="A627" s="376" t="s">
        <v>1081</v>
      </c>
      <c r="B627" s="178" t="s">
        <v>809</v>
      </c>
      <c r="C627" s="179"/>
      <c r="D627" s="179"/>
      <c r="E627" s="178"/>
      <c r="F627" s="279">
        <f>F628+F629</f>
        <v>5381.8</v>
      </c>
      <c r="G627" s="279">
        <f>G628+G629</f>
        <v>0</v>
      </c>
      <c r="H627" s="279">
        <f>H628+H629</f>
        <v>0</v>
      </c>
    </row>
    <row r="628" spans="1:8" ht="47.25">
      <c r="A628" s="2" t="s">
        <v>299</v>
      </c>
      <c r="B628" s="178" t="s">
        <v>809</v>
      </c>
      <c r="C628" s="179" t="s">
        <v>735</v>
      </c>
      <c r="D628" s="179" t="s">
        <v>98</v>
      </c>
      <c r="E628" s="178">
        <v>240</v>
      </c>
      <c r="F628" s="279">
        <f>'приложение 5'!Q573</f>
        <v>1180</v>
      </c>
      <c r="G628" s="279">
        <f>'приложение 5'!R573</f>
        <v>0</v>
      </c>
      <c r="H628" s="279">
        <f>'приложение 5'!S573</f>
        <v>0</v>
      </c>
    </row>
    <row r="629" spans="1:8" ht="47.25">
      <c r="A629" s="2" t="s">
        <v>299</v>
      </c>
      <c r="B629" s="178" t="s">
        <v>809</v>
      </c>
      <c r="C629" s="179" t="s">
        <v>616</v>
      </c>
      <c r="D629" s="179" t="s">
        <v>98</v>
      </c>
      <c r="E629" s="178">
        <v>240</v>
      </c>
      <c r="F629" s="279">
        <f>'приложение 5'!Q255</f>
        <v>4201.8</v>
      </c>
      <c r="G629" s="279">
        <f>'приложение 5'!R255</f>
        <v>0</v>
      </c>
      <c r="H629" s="279">
        <f>'приложение 5'!S255</f>
        <v>0</v>
      </c>
    </row>
    <row r="630" spans="1:8" ht="47.25">
      <c r="A630" s="2" t="s">
        <v>977</v>
      </c>
      <c r="B630" s="178" t="s">
        <v>978</v>
      </c>
      <c r="C630" s="179"/>
      <c r="D630" s="179"/>
      <c r="E630" s="178"/>
      <c r="F630" s="279">
        <f>F631</f>
        <v>0</v>
      </c>
      <c r="G630" s="279">
        <f>G631</f>
        <v>5083.3</v>
      </c>
      <c r="H630" s="279">
        <f>H631</f>
        <v>0</v>
      </c>
    </row>
    <row r="631" spans="1:8" ht="47.25">
      <c r="A631" s="2" t="s">
        <v>299</v>
      </c>
      <c r="B631" s="178" t="s">
        <v>978</v>
      </c>
      <c r="C631" s="179" t="s">
        <v>735</v>
      </c>
      <c r="D631" s="179" t="s">
        <v>98</v>
      </c>
      <c r="E631" s="178">
        <v>240</v>
      </c>
      <c r="F631" s="279">
        <f>'приложение 5'!Q577</f>
        <v>0</v>
      </c>
      <c r="G631" s="279">
        <f>'приложение 5'!R577</f>
        <v>5083.3</v>
      </c>
      <c r="H631" s="279">
        <f>'приложение 5'!S577</f>
        <v>0</v>
      </c>
    </row>
    <row r="632" spans="1:8" ht="78.75" hidden="1">
      <c r="A632" s="372" t="s">
        <v>933</v>
      </c>
      <c r="B632" s="178" t="s">
        <v>935</v>
      </c>
      <c r="C632" s="179" t="s">
        <v>735</v>
      </c>
      <c r="D632" s="179" t="s">
        <v>98</v>
      </c>
      <c r="E632" s="178"/>
      <c r="F632" s="279">
        <f>F633</f>
        <v>0</v>
      </c>
      <c r="G632" s="279">
        <f>G633</f>
        <v>0</v>
      </c>
      <c r="H632" s="279">
        <f>H633</f>
        <v>0</v>
      </c>
    </row>
    <row r="633" spans="1:8" ht="47.25" hidden="1">
      <c r="A633" s="2" t="s">
        <v>299</v>
      </c>
      <c r="B633" s="178" t="s">
        <v>935</v>
      </c>
      <c r="C633" s="179" t="s">
        <v>735</v>
      </c>
      <c r="D633" s="179" t="s">
        <v>98</v>
      </c>
      <c r="E633" s="178">
        <v>240</v>
      </c>
      <c r="F633" s="279">
        <f>'приложение 5'!Q575</f>
        <v>0</v>
      </c>
      <c r="G633" s="279">
        <f>'приложение 5'!R575</f>
        <v>0</v>
      </c>
      <c r="H633" s="279">
        <f>'приложение 5'!S575</f>
        <v>0</v>
      </c>
    </row>
    <row r="634" spans="1:8" ht="47.25" hidden="1">
      <c r="A634" s="372" t="s">
        <v>934</v>
      </c>
      <c r="B634" s="178" t="s">
        <v>936</v>
      </c>
      <c r="C634" s="179" t="s">
        <v>735</v>
      </c>
      <c r="D634" s="179" t="s">
        <v>98</v>
      </c>
      <c r="E634" s="178"/>
      <c r="F634" s="279">
        <f>F635</f>
        <v>0</v>
      </c>
      <c r="G634" s="279">
        <f>G635</f>
        <v>0</v>
      </c>
      <c r="H634" s="279">
        <f>H635</f>
        <v>0</v>
      </c>
    </row>
    <row r="635" spans="1:8" ht="47.25" hidden="1">
      <c r="A635" s="2" t="s">
        <v>299</v>
      </c>
      <c r="B635" s="178" t="s">
        <v>936</v>
      </c>
      <c r="C635" s="179" t="s">
        <v>735</v>
      </c>
      <c r="D635" s="179" t="s">
        <v>98</v>
      </c>
      <c r="E635" s="178">
        <v>240</v>
      </c>
      <c r="F635" s="279">
        <f>'приложение 5'!Q579</f>
        <v>0</v>
      </c>
      <c r="G635" s="279">
        <f>'приложение 5'!R579</f>
        <v>0</v>
      </c>
      <c r="H635" s="279">
        <f>'приложение 5'!S579</f>
        <v>0</v>
      </c>
    </row>
    <row r="636" spans="1:8" ht="31.5">
      <c r="A636" s="25" t="s">
        <v>561</v>
      </c>
      <c r="B636" s="178" t="s">
        <v>461</v>
      </c>
      <c r="C636" s="179"/>
      <c r="D636" s="179"/>
      <c r="E636" s="178"/>
      <c r="F636" s="279">
        <f>F637</f>
        <v>1235</v>
      </c>
      <c r="G636" s="279">
        <f>G637</f>
        <v>500</v>
      </c>
      <c r="H636" s="279">
        <f>H637</f>
        <v>500</v>
      </c>
    </row>
    <row r="637" spans="1:8" ht="31.5">
      <c r="A637" s="25" t="s">
        <v>562</v>
      </c>
      <c r="B637" s="178" t="s">
        <v>810</v>
      </c>
      <c r="C637" s="179"/>
      <c r="D637" s="179"/>
      <c r="E637" s="178"/>
      <c r="F637" s="279">
        <f>F638+F640</f>
        <v>1235</v>
      </c>
      <c r="G637" s="279">
        <f>G638+G640</f>
        <v>500</v>
      </c>
      <c r="H637" s="279">
        <f>H638+H640</f>
        <v>500</v>
      </c>
    </row>
    <row r="638" spans="1:8" ht="47.25">
      <c r="A638" s="2" t="s">
        <v>299</v>
      </c>
      <c r="B638" s="178" t="s">
        <v>810</v>
      </c>
      <c r="C638" s="179" t="s">
        <v>616</v>
      </c>
      <c r="D638" s="179" t="s">
        <v>98</v>
      </c>
      <c r="E638" s="178">
        <v>240</v>
      </c>
      <c r="F638" s="279">
        <f>'приложение 5'!Q258</f>
        <v>0</v>
      </c>
      <c r="G638" s="279">
        <f>'приложение 5'!R258</f>
        <v>500</v>
      </c>
      <c r="H638" s="279">
        <f>'приложение 5'!S258</f>
        <v>500</v>
      </c>
    </row>
    <row r="639" spans="1:8" ht="47.25" hidden="1">
      <c r="A639" s="2" t="s">
        <v>299</v>
      </c>
      <c r="B639" s="178" t="s">
        <v>810</v>
      </c>
      <c r="C639" s="179" t="s">
        <v>735</v>
      </c>
      <c r="D639" s="179" t="s">
        <v>98</v>
      </c>
      <c r="E639" s="178">
        <v>240</v>
      </c>
      <c r="F639" s="279">
        <f>'приложение 5'!Q582</f>
        <v>0</v>
      </c>
      <c r="G639" s="279">
        <f>'приложение 5'!R582</f>
        <v>0</v>
      </c>
      <c r="H639" s="279">
        <f>'приложение 5'!S582</f>
        <v>0</v>
      </c>
    </row>
    <row r="640" spans="1:8" ht="47.25">
      <c r="A640" s="2" t="s">
        <v>299</v>
      </c>
      <c r="B640" s="178" t="s">
        <v>810</v>
      </c>
      <c r="C640" s="179" t="s">
        <v>592</v>
      </c>
      <c r="D640" s="179" t="s">
        <v>98</v>
      </c>
      <c r="E640" s="178">
        <v>240</v>
      </c>
      <c r="F640" s="279">
        <f>'приложение 5'!Q957</f>
        <v>1235</v>
      </c>
      <c r="G640" s="279">
        <f>'приложение 5'!R957</f>
        <v>0</v>
      </c>
      <c r="H640" s="279">
        <f>'приложение 5'!S957</f>
        <v>0</v>
      </c>
    </row>
    <row r="641" spans="1:8" ht="78.75">
      <c r="A641" s="2" t="s">
        <v>850</v>
      </c>
      <c r="B641" s="178" t="s">
        <v>811</v>
      </c>
      <c r="C641" s="179"/>
      <c r="D641" s="179"/>
      <c r="E641" s="178"/>
      <c r="F641" s="279">
        <f>F642</f>
        <v>1200</v>
      </c>
      <c r="G641" s="279">
        <f>G642</f>
        <v>2400</v>
      </c>
      <c r="H641" s="279">
        <f>H642</f>
        <v>2400</v>
      </c>
    </row>
    <row r="642" spans="1:8" ht="15.75">
      <c r="A642" s="2" t="s">
        <v>543</v>
      </c>
      <c r="B642" s="178" t="s">
        <v>812</v>
      </c>
      <c r="C642" s="179"/>
      <c r="D642" s="179"/>
      <c r="E642" s="178"/>
      <c r="F642" s="279">
        <f>F643+F644</f>
        <v>1200</v>
      </c>
      <c r="G642" s="279">
        <f>G643+G644</f>
        <v>2400</v>
      </c>
      <c r="H642" s="279">
        <f>H643+H644</f>
        <v>2400</v>
      </c>
    </row>
    <row r="643" spans="1:8" ht="47.25" hidden="1">
      <c r="A643" s="2" t="s">
        <v>299</v>
      </c>
      <c r="B643" s="178" t="s">
        <v>812</v>
      </c>
      <c r="C643" s="179" t="s">
        <v>616</v>
      </c>
      <c r="D643" s="179" t="s">
        <v>98</v>
      </c>
      <c r="E643" s="178">
        <v>240</v>
      </c>
      <c r="F643" s="279">
        <f>'приложение 5'!Q261</f>
        <v>0</v>
      </c>
      <c r="G643" s="279">
        <f>'приложение 5'!R261</f>
        <v>0</v>
      </c>
      <c r="H643" s="279">
        <f>'приложение 5'!S261</f>
        <v>0</v>
      </c>
    </row>
    <row r="644" spans="1:8" ht="63">
      <c r="A644" s="2" t="s">
        <v>359</v>
      </c>
      <c r="B644" s="178" t="s">
        <v>812</v>
      </c>
      <c r="C644" s="179" t="s">
        <v>616</v>
      </c>
      <c r="D644" s="179" t="s">
        <v>98</v>
      </c>
      <c r="E644" s="178">
        <v>810</v>
      </c>
      <c r="F644" s="279">
        <f>'приложение 5'!Q262</f>
        <v>1200</v>
      </c>
      <c r="G644" s="279">
        <f>'приложение 5'!R262</f>
        <v>2400</v>
      </c>
      <c r="H644" s="279">
        <f>'приложение 5'!S262</f>
        <v>2400</v>
      </c>
    </row>
    <row r="645" spans="1:8" ht="47.25" hidden="1">
      <c r="A645" s="8" t="s">
        <v>879</v>
      </c>
      <c r="B645" s="178" t="s">
        <v>878</v>
      </c>
      <c r="C645" s="179"/>
      <c r="D645" s="179"/>
      <c r="E645" s="178"/>
      <c r="F645" s="279">
        <f>F646</f>
        <v>0</v>
      </c>
      <c r="G645" s="279">
        <f>G646</f>
        <v>0</v>
      </c>
      <c r="H645" s="279">
        <f>H646</f>
        <v>0</v>
      </c>
    </row>
    <row r="646" spans="1:8" ht="31.5" hidden="1">
      <c r="A646" s="417" t="s">
        <v>1081</v>
      </c>
      <c r="B646" s="178" t="s">
        <v>880</v>
      </c>
      <c r="C646" s="179" t="s">
        <v>735</v>
      </c>
      <c r="D646" s="179" t="s">
        <v>98</v>
      </c>
      <c r="E646" s="178">
        <v>240</v>
      </c>
      <c r="F646" s="279">
        <f>'приложение 5'!Q585</f>
        <v>0</v>
      </c>
      <c r="G646" s="279">
        <f>'приложение 5'!R585</f>
        <v>0</v>
      </c>
      <c r="H646" s="279">
        <f>'приложение 5'!S585</f>
        <v>0</v>
      </c>
    </row>
    <row r="647" spans="1:8" ht="31.5">
      <c r="A647" s="367" t="s">
        <v>944</v>
      </c>
      <c r="B647" s="178" t="s">
        <v>923</v>
      </c>
      <c r="C647" s="179"/>
      <c r="D647" s="179"/>
      <c r="E647" s="178"/>
      <c r="F647" s="279">
        <f>F648+F649</f>
        <v>15</v>
      </c>
      <c r="G647" s="279">
        <f>G648+G649</f>
        <v>0</v>
      </c>
      <c r="H647" s="279">
        <f>H648+H649</f>
        <v>0</v>
      </c>
    </row>
    <row r="648" spans="1:8" ht="47.25">
      <c r="A648" s="2" t="s">
        <v>299</v>
      </c>
      <c r="B648" s="178" t="s">
        <v>924</v>
      </c>
      <c r="C648" s="179" t="s">
        <v>616</v>
      </c>
      <c r="D648" s="179" t="s">
        <v>98</v>
      </c>
      <c r="E648" s="178">
        <v>240</v>
      </c>
      <c r="F648" s="279">
        <f>'приложение 5'!Q265</f>
        <v>15</v>
      </c>
      <c r="G648" s="279">
        <f>'приложение 5'!R265</f>
        <v>0</v>
      </c>
      <c r="H648" s="279">
        <f>'приложение 5'!S265</f>
        <v>0</v>
      </c>
    </row>
    <row r="649" spans="1:8" ht="15.75" hidden="1">
      <c r="A649" s="8" t="s">
        <v>318</v>
      </c>
      <c r="B649" s="178" t="s">
        <v>924</v>
      </c>
      <c r="C649" s="179" t="s">
        <v>616</v>
      </c>
      <c r="D649" s="179" t="s">
        <v>98</v>
      </c>
      <c r="E649" s="178">
        <v>620</v>
      </c>
      <c r="F649" s="279">
        <f>'приложение 5'!Q266</f>
        <v>0</v>
      </c>
      <c r="G649" s="279">
        <f>'приложение 5'!R266</f>
        <v>0</v>
      </c>
      <c r="H649" s="279">
        <f>'приложение 5'!S266</f>
        <v>0</v>
      </c>
    </row>
    <row r="650" spans="1:8" ht="63">
      <c r="A650" s="367" t="s">
        <v>950</v>
      </c>
      <c r="B650" s="178" t="s">
        <v>953</v>
      </c>
      <c r="C650" s="179"/>
      <c r="D650" s="179"/>
      <c r="E650" s="178"/>
      <c r="F650" s="279">
        <f>F651+F652</f>
        <v>2992.5</v>
      </c>
      <c r="G650" s="279">
        <f>G651+G652</f>
        <v>0</v>
      </c>
      <c r="H650" s="279">
        <f>H651+H652</f>
        <v>0</v>
      </c>
    </row>
    <row r="651" spans="1:8" ht="47.25" hidden="1">
      <c r="A651" s="2" t="s">
        <v>299</v>
      </c>
      <c r="B651" s="178" t="s">
        <v>952</v>
      </c>
      <c r="C651" s="179" t="s">
        <v>616</v>
      </c>
      <c r="D651" s="179" t="s">
        <v>98</v>
      </c>
      <c r="E651" s="178">
        <v>620</v>
      </c>
      <c r="F651" s="279">
        <f>'приложение 5'!Q269</f>
        <v>0</v>
      </c>
      <c r="G651" s="279">
        <f>'приложение 5'!R269</f>
        <v>0</v>
      </c>
      <c r="H651" s="279">
        <f>'приложение 5'!S269</f>
        <v>0</v>
      </c>
    </row>
    <row r="652" spans="1:8" ht="63">
      <c r="A652" s="2" t="s">
        <v>359</v>
      </c>
      <c r="B652" s="178" t="s">
        <v>952</v>
      </c>
      <c r="C652" s="179" t="s">
        <v>616</v>
      </c>
      <c r="D652" s="179" t="s">
        <v>98</v>
      </c>
      <c r="E652" s="178">
        <v>810</v>
      </c>
      <c r="F652" s="279">
        <f>'приложение 5'!Q270</f>
        <v>2992.5</v>
      </c>
      <c r="G652" s="279">
        <f>'приложение 5'!R270</f>
        <v>0</v>
      </c>
      <c r="H652" s="279">
        <f>'приложение 5'!S270</f>
        <v>0</v>
      </c>
    </row>
    <row r="653" spans="1:8" ht="31.5">
      <c r="A653" s="2" t="s">
        <v>1073</v>
      </c>
      <c r="B653" s="178" t="s">
        <v>1075</v>
      </c>
      <c r="C653" s="179"/>
      <c r="D653" s="179"/>
      <c r="E653" s="178"/>
      <c r="F653" s="279">
        <f aca="true" t="shared" si="32" ref="F653:H654">F654</f>
        <v>836.7</v>
      </c>
      <c r="G653" s="279">
        <f t="shared" si="32"/>
        <v>0</v>
      </c>
      <c r="H653" s="279">
        <f t="shared" si="32"/>
        <v>0</v>
      </c>
    </row>
    <row r="654" spans="1:8" ht="47.25">
      <c r="A654" s="2" t="s">
        <v>1074</v>
      </c>
      <c r="B654" s="178" t="s">
        <v>1076</v>
      </c>
      <c r="C654" s="179"/>
      <c r="D654" s="179"/>
      <c r="E654" s="178"/>
      <c r="F654" s="279">
        <f t="shared" si="32"/>
        <v>836.7</v>
      </c>
      <c r="G654" s="279">
        <f t="shared" si="32"/>
        <v>0</v>
      </c>
      <c r="H654" s="279">
        <f t="shared" si="32"/>
        <v>0</v>
      </c>
    </row>
    <row r="655" spans="1:8" ht="47.25">
      <c r="A655" s="2" t="s">
        <v>299</v>
      </c>
      <c r="B655" s="178" t="s">
        <v>1076</v>
      </c>
      <c r="C655" s="179" t="s">
        <v>616</v>
      </c>
      <c r="D655" s="179" t="s">
        <v>98</v>
      </c>
      <c r="E655" s="178">
        <v>240</v>
      </c>
      <c r="F655" s="279">
        <f>'приложение 5'!Q273</f>
        <v>836.7</v>
      </c>
      <c r="G655" s="279">
        <f>'приложение 5'!R273</f>
        <v>0</v>
      </c>
      <c r="H655" s="279">
        <f>'приложение 5'!S273</f>
        <v>0</v>
      </c>
    </row>
    <row r="656" spans="1:8" ht="47.25">
      <c r="A656" s="29" t="s">
        <v>567</v>
      </c>
      <c r="B656" s="197" t="s">
        <v>813</v>
      </c>
      <c r="C656" s="204"/>
      <c r="D656" s="204"/>
      <c r="E656" s="197"/>
      <c r="F656" s="291">
        <f>F657+F671+F682+F686+F689+F662+F695</f>
        <v>32617.7</v>
      </c>
      <c r="G656" s="291">
        <f>G657+G671+G682+G686+G689+G662+G695</f>
        <v>31887.899999999998</v>
      </c>
      <c r="H656" s="291">
        <f>H657+H671+H682+H686+H689+H662+H695</f>
        <v>27119.199999999997</v>
      </c>
    </row>
    <row r="657" spans="1:8" ht="47.25">
      <c r="A657" s="8" t="s">
        <v>869</v>
      </c>
      <c r="B657" s="178" t="s">
        <v>870</v>
      </c>
      <c r="C657" s="179"/>
      <c r="D657" s="179"/>
      <c r="E657" s="178"/>
      <c r="F657" s="279">
        <f>F659+F660+F661</f>
        <v>1231.5</v>
      </c>
      <c r="G657" s="279">
        <f>G659+G660+G661</f>
        <v>1995</v>
      </c>
      <c r="H657" s="279">
        <f>H659+H660+H661</f>
        <v>997.5</v>
      </c>
    </row>
    <row r="658" spans="1:8" ht="31.5">
      <c r="A658" s="8" t="s">
        <v>877</v>
      </c>
      <c r="B658" s="178" t="s">
        <v>871</v>
      </c>
      <c r="C658" s="204"/>
      <c r="D658" s="204"/>
      <c r="E658" s="197"/>
      <c r="F658" s="279">
        <f>F659+F660+F661</f>
        <v>1231.5</v>
      </c>
      <c r="G658" s="279">
        <f>G659+G660+G661</f>
        <v>1995</v>
      </c>
      <c r="H658" s="279">
        <f>H659+H660+H661</f>
        <v>997.5</v>
      </c>
    </row>
    <row r="659" spans="1:8" ht="47.25">
      <c r="A659" s="8" t="str">
        <f>A660</f>
        <v>Иные закупки товаров, работ и услуг для обеспечения государственных (муниципальных) нужд</v>
      </c>
      <c r="B659" s="178" t="s">
        <v>871</v>
      </c>
      <c r="C659" s="179" t="s">
        <v>735</v>
      </c>
      <c r="D659" s="179" t="s">
        <v>158</v>
      </c>
      <c r="E659" s="178">
        <v>240</v>
      </c>
      <c r="F659" s="279">
        <f>'приложение 5'!Q617</f>
        <v>0</v>
      </c>
      <c r="G659" s="279">
        <f>'приложение 5'!R617</f>
        <v>845</v>
      </c>
      <c r="H659" s="279">
        <f>'приложение 5'!S617</f>
        <v>422.5</v>
      </c>
    </row>
    <row r="660" spans="1:8" ht="47.25">
      <c r="A660" s="8" t="str">
        <f>A673</f>
        <v>Иные закупки товаров, работ и услуг для обеспечения государственных (муниципальных) нужд</v>
      </c>
      <c r="B660" s="178" t="s">
        <v>871</v>
      </c>
      <c r="C660" s="179" t="s">
        <v>592</v>
      </c>
      <c r="D660" s="179" t="s">
        <v>158</v>
      </c>
      <c r="E660" s="178">
        <v>240</v>
      </c>
      <c r="F660" s="279">
        <f>'приложение 5'!Q968</f>
        <v>250</v>
      </c>
      <c r="G660" s="279">
        <f>'приложение 5'!R968</f>
        <v>500</v>
      </c>
      <c r="H660" s="279">
        <f>'приложение 5'!S968</f>
        <v>250</v>
      </c>
    </row>
    <row r="661" spans="1:8" ht="47.25">
      <c r="A661" s="8" t="str">
        <f>A674</f>
        <v>Иные закупки товаров, работ и услуг для обеспечения государственных (муниципальных) нужд</v>
      </c>
      <c r="B661" s="178" t="s">
        <v>871</v>
      </c>
      <c r="C661" s="179" t="s">
        <v>745</v>
      </c>
      <c r="D661" s="179" t="s">
        <v>158</v>
      </c>
      <c r="E661" s="178">
        <v>240</v>
      </c>
      <c r="F661" s="279">
        <f>'приложение 5'!Q1058</f>
        <v>981.5</v>
      </c>
      <c r="G661" s="279">
        <f>'приложение 5'!R1058</f>
        <v>650</v>
      </c>
      <c r="H661" s="279">
        <f>'приложение 5'!S1058</f>
        <v>325</v>
      </c>
    </row>
    <row r="662" spans="1:8" ht="31.5">
      <c r="A662" s="8" t="s">
        <v>961</v>
      </c>
      <c r="B662" s="178" t="s">
        <v>963</v>
      </c>
      <c r="C662" s="179"/>
      <c r="D662" s="179"/>
      <c r="E662" s="178"/>
      <c r="F662" s="279">
        <f>F663+F668</f>
        <v>7622.7</v>
      </c>
      <c r="G662" s="279">
        <f>G663+G668</f>
        <v>12001.8</v>
      </c>
      <c r="H662" s="279">
        <f>H663+H668</f>
        <v>9630.6</v>
      </c>
    </row>
    <row r="663" spans="1:8" ht="31.5">
      <c r="A663" s="8" t="s">
        <v>877</v>
      </c>
      <c r="B663" s="178" t="s">
        <v>962</v>
      </c>
      <c r="C663" s="179"/>
      <c r="D663" s="179"/>
      <c r="E663" s="178"/>
      <c r="F663" s="279">
        <f>F665+F666+F667+F664</f>
        <v>0</v>
      </c>
      <c r="G663" s="279">
        <f>G665+G666+G667+G664</f>
        <v>4476</v>
      </c>
      <c r="H663" s="279">
        <f>H665+H666+H667+H664</f>
        <v>4476</v>
      </c>
    </row>
    <row r="664" spans="1:8" s="282" customFormat="1" ht="47.25" hidden="1">
      <c r="A664" s="2" t="s">
        <v>299</v>
      </c>
      <c r="B664" s="303" t="s">
        <v>962</v>
      </c>
      <c r="C664" s="330" t="s">
        <v>616</v>
      </c>
      <c r="D664" s="330" t="s">
        <v>158</v>
      </c>
      <c r="E664" s="303">
        <v>240</v>
      </c>
      <c r="F664" s="279">
        <f>'приложение 5'!Q286</f>
        <v>0</v>
      </c>
      <c r="G664" s="279">
        <f>'приложение 5'!R286</f>
        <v>0</v>
      </c>
      <c r="H664" s="279">
        <f>'приложение 5'!S286</f>
        <v>0</v>
      </c>
    </row>
    <row r="665" spans="1:8" ht="47.25">
      <c r="A665" s="2" t="s">
        <v>299</v>
      </c>
      <c r="B665" s="178" t="s">
        <v>962</v>
      </c>
      <c r="C665" s="179" t="s">
        <v>735</v>
      </c>
      <c r="D665" s="179" t="s">
        <v>158</v>
      </c>
      <c r="E665" s="178">
        <v>240</v>
      </c>
      <c r="F665" s="279">
        <f>'приложение 5'!Q620</f>
        <v>0</v>
      </c>
      <c r="G665" s="279">
        <f>'приложение 5'!R620</f>
        <v>433</v>
      </c>
      <c r="H665" s="279">
        <f>'приложение 5'!S620</f>
        <v>433</v>
      </c>
    </row>
    <row r="666" spans="1:8" ht="47.25">
      <c r="A666" s="2" t="s">
        <v>299</v>
      </c>
      <c r="B666" s="178" t="s">
        <v>962</v>
      </c>
      <c r="C666" s="179" t="s">
        <v>592</v>
      </c>
      <c r="D666" s="179" t="s">
        <v>158</v>
      </c>
      <c r="E666" s="178">
        <v>240</v>
      </c>
      <c r="F666" s="279">
        <f>'приложение 5'!Q971</f>
        <v>0</v>
      </c>
      <c r="G666" s="279">
        <f>'приложение 5'!R971</f>
        <v>1923</v>
      </c>
      <c r="H666" s="279">
        <f>'приложение 5'!S971</f>
        <v>1923</v>
      </c>
    </row>
    <row r="667" spans="1:8" ht="47.25">
      <c r="A667" s="2" t="s">
        <v>299</v>
      </c>
      <c r="B667" s="178" t="s">
        <v>962</v>
      </c>
      <c r="C667" s="179" t="s">
        <v>745</v>
      </c>
      <c r="D667" s="179" t="s">
        <v>158</v>
      </c>
      <c r="E667" s="178">
        <v>240</v>
      </c>
      <c r="F667" s="279">
        <f>'приложение 5'!Q1061</f>
        <v>0</v>
      </c>
      <c r="G667" s="279">
        <f>'приложение 5'!R1061</f>
        <v>2120</v>
      </c>
      <c r="H667" s="279">
        <f>'приложение 5'!S1061</f>
        <v>2120</v>
      </c>
    </row>
    <row r="668" spans="1:8" ht="15.75">
      <c r="A668" s="2" t="s">
        <v>1057</v>
      </c>
      <c r="B668" s="178" t="s">
        <v>1058</v>
      </c>
      <c r="C668" s="179"/>
      <c r="D668" s="179"/>
      <c r="E668" s="178"/>
      <c r="F668" s="279">
        <f>F669+F670</f>
        <v>7622.7</v>
      </c>
      <c r="G668" s="279">
        <f>G669+G670</f>
        <v>7525.8</v>
      </c>
      <c r="H668" s="279">
        <f>H669+H670</f>
        <v>5154.6</v>
      </c>
    </row>
    <row r="669" spans="1:8" ht="47.25">
      <c r="A669" s="2" t="s">
        <v>299</v>
      </c>
      <c r="B669" s="178" t="s">
        <v>1058</v>
      </c>
      <c r="C669" s="179" t="s">
        <v>616</v>
      </c>
      <c r="D669" s="179" t="s">
        <v>158</v>
      </c>
      <c r="E669" s="178">
        <v>240</v>
      </c>
      <c r="F669" s="279">
        <f>'приложение 5'!Q288</f>
        <v>0</v>
      </c>
      <c r="G669" s="279">
        <f>'приложение 5'!R288</f>
        <v>7525.8</v>
      </c>
      <c r="H669" s="279">
        <f>'приложение 5'!S288</f>
        <v>5154.6</v>
      </c>
    </row>
    <row r="670" spans="1:8" ht="47.25">
      <c r="A670" s="2" t="s">
        <v>299</v>
      </c>
      <c r="B670" s="178" t="s">
        <v>1058</v>
      </c>
      <c r="C670" s="179" t="s">
        <v>735</v>
      </c>
      <c r="D670" s="179" t="s">
        <v>158</v>
      </c>
      <c r="E670" s="178">
        <v>240</v>
      </c>
      <c r="F670" s="279">
        <f>'приложение 5'!Q622</f>
        <v>7622.7</v>
      </c>
      <c r="G670" s="279">
        <f>'приложение 5'!R622</f>
        <v>0</v>
      </c>
      <c r="H670" s="279">
        <f>'приложение 5'!S622</f>
        <v>0</v>
      </c>
    </row>
    <row r="671" spans="1:8" ht="31.5">
      <c r="A671" s="8" t="s">
        <v>1092</v>
      </c>
      <c r="B671" s="178" t="s">
        <v>814</v>
      </c>
      <c r="C671" s="179"/>
      <c r="D671" s="179"/>
      <c r="E671" s="178"/>
      <c r="F671" s="279">
        <f>F672+F677</f>
        <v>19268.3</v>
      </c>
      <c r="G671" s="279">
        <f>G672+G677</f>
        <v>16491.1</v>
      </c>
      <c r="H671" s="279">
        <f>H672+H677</f>
        <v>16491.1</v>
      </c>
    </row>
    <row r="672" spans="1:8" ht="15.75">
      <c r="A672" s="8" t="s">
        <v>568</v>
      </c>
      <c r="B672" s="178" t="s">
        <v>815</v>
      </c>
      <c r="C672" s="179"/>
      <c r="D672" s="179"/>
      <c r="E672" s="178"/>
      <c r="F672" s="279">
        <f>F676+F675+F674+F673</f>
        <v>13761.8</v>
      </c>
      <c r="G672" s="279">
        <f>G676+G675+G674+G673</f>
        <v>13761.8</v>
      </c>
      <c r="H672" s="279">
        <f>H676+H675+H674+H673</f>
        <v>13761.8</v>
      </c>
    </row>
    <row r="673" spans="1:8" ht="47.25" hidden="1">
      <c r="A673" s="8" t="s">
        <v>299</v>
      </c>
      <c r="B673" s="178" t="s">
        <v>815</v>
      </c>
      <c r="C673" s="179" t="s">
        <v>616</v>
      </c>
      <c r="D673" s="179" t="s">
        <v>158</v>
      </c>
      <c r="E673" s="178">
        <v>240</v>
      </c>
      <c r="F673" s="279">
        <f>'приложение 5'!Q291</f>
        <v>0</v>
      </c>
      <c r="G673" s="279">
        <f>'приложение 5'!R291</f>
        <v>0</v>
      </c>
      <c r="H673" s="279">
        <f>'приложение 5'!S291</f>
        <v>0</v>
      </c>
    </row>
    <row r="674" spans="1:8" ht="47.25">
      <c r="A674" s="2" t="s">
        <v>299</v>
      </c>
      <c r="B674" s="178" t="s">
        <v>815</v>
      </c>
      <c r="C674" s="179" t="s">
        <v>735</v>
      </c>
      <c r="D674" s="179" t="s">
        <v>158</v>
      </c>
      <c r="E674" s="178">
        <v>240</v>
      </c>
      <c r="F674" s="279">
        <f>'приложение 5'!Q625</f>
        <v>7885.2</v>
      </c>
      <c r="G674" s="279">
        <f>'приложение 5'!R625</f>
        <v>7885.2</v>
      </c>
      <c r="H674" s="279">
        <f>'приложение 5'!S625</f>
        <v>7885.2</v>
      </c>
    </row>
    <row r="675" spans="1:8" ht="47.25">
      <c r="A675" s="2" t="s">
        <v>299</v>
      </c>
      <c r="B675" s="178" t="s">
        <v>815</v>
      </c>
      <c r="C675" s="179" t="s">
        <v>592</v>
      </c>
      <c r="D675" s="179" t="s">
        <v>158</v>
      </c>
      <c r="E675" s="262">
        <v>240</v>
      </c>
      <c r="F675" s="279">
        <f>'приложение 5'!Q974</f>
        <v>1819.9</v>
      </c>
      <c r="G675" s="279">
        <f>'приложение 5'!R974</f>
        <v>1819.9</v>
      </c>
      <c r="H675" s="279">
        <f>'приложение 5'!S974</f>
        <v>1819.9</v>
      </c>
    </row>
    <row r="676" spans="1:8" ht="47.25">
      <c r="A676" s="2" t="s">
        <v>299</v>
      </c>
      <c r="B676" s="178" t="s">
        <v>815</v>
      </c>
      <c r="C676" s="179" t="s">
        <v>745</v>
      </c>
      <c r="D676" s="179" t="s">
        <v>158</v>
      </c>
      <c r="E676" s="262">
        <v>240</v>
      </c>
      <c r="F676" s="279">
        <f>'приложение 5'!Q1064</f>
        <v>4056.7</v>
      </c>
      <c r="G676" s="279">
        <f>'приложение 5'!R1064</f>
        <v>4056.7</v>
      </c>
      <c r="H676" s="279">
        <f>'приложение 5'!S1064</f>
        <v>4056.7</v>
      </c>
    </row>
    <row r="677" spans="1:8" ht="15.75">
      <c r="A677" s="2" t="s">
        <v>1062</v>
      </c>
      <c r="B677" s="178" t="s">
        <v>1063</v>
      </c>
      <c r="C677" s="179"/>
      <c r="D677" s="179"/>
      <c r="E677" s="262"/>
      <c r="F677" s="279">
        <f>F679+F678+F680+F681</f>
        <v>5506.499999999999</v>
      </c>
      <c r="G677" s="279">
        <f>G679+G678+G680+G681</f>
        <v>2729.3</v>
      </c>
      <c r="H677" s="279">
        <f>H679+H678+H680+H681</f>
        <v>2729.3</v>
      </c>
    </row>
    <row r="678" spans="1:8" ht="47.25">
      <c r="A678" s="2" t="s">
        <v>299</v>
      </c>
      <c r="B678" s="178" t="s">
        <v>1063</v>
      </c>
      <c r="C678" s="179" t="s">
        <v>616</v>
      </c>
      <c r="D678" s="179" t="s">
        <v>158</v>
      </c>
      <c r="E678" s="262">
        <v>240</v>
      </c>
      <c r="F678" s="279">
        <f>'приложение 5'!Q293</f>
        <v>0</v>
      </c>
      <c r="G678" s="279">
        <f>'приложение 5'!R293</f>
        <v>2729.3</v>
      </c>
      <c r="H678" s="279">
        <f>'приложение 5'!S293</f>
        <v>2729.3</v>
      </c>
    </row>
    <row r="679" spans="1:8" ht="47.25">
      <c r="A679" s="2" t="s">
        <v>299</v>
      </c>
      <c r="B679" s="178" t="s">
        <v>1063</v>
      </c>
      <c r="C679" s="179" t="s">
        <v>735</v>
      </c>
      <c r="D679" s="179" t="s">
        <v>158</v>
      </c>
      <c r="E679" s="262">
        <v>240</v>
      </c>
      <c r="F679" s="279">
        <f>'приложение 5'!Q627</f>
        <v>1755.6999999999998</v>
      </c>
      <c r="G679" s="279">
        <f>'приложение 5'!R627</f>
        <v>0</v>
      </c>
      <c r="H679" s="279">
        <f>'приложение 5'!S627</f>
        <v>0</v>
      </c>
    </row>
    <row r="680" spans="1:8" ht="47.25">
      <c r="A680" s="2" t="s">
        <v>299</v>
      </c>
      <c r="B680" s="178" t="s">
        <v>1063</v>
      </c>
      <c r="C680" s="179" t="s">
        <v>592</v>
      </c>
      <c r="D680" s="179" t="s">
        <v>158</v>
      </c>
      <c r="E680" s="262">
        <v>240</v>
      </c>
      <c r="F680" s="279">
        <f>'приложение 5'!Q976</f>
        <v>1875.3999999999999</v>
      </c>
      <c r="G680" s="279">
        <f>'приложение 5'!R976</f>
        <v>0</v>
      </c>
      <c r="H680" s="279">
        <f>'приложение 5'!S976</f>
        <v>0</v>
      </c>
    </row>
    <row r="681" spans="1:8" ht="47.25">
      <c r="A681" s="2" t="s">
        <v>299</v>
      </c>
      <c r="B681" s="178" t="s">
        <v>1063</v>
      </c>
      <c r="C681" s="179" t="s">
        <v>745</v>
      </c>
      <c r="D681" s="179" t="s">
        <v>158</v>
      </c>
      <c r="E681" s="262">
        <v>240</v>
      </c>
      <c r="F681" s="279">
        <f>'приложение 5'!Q1066</f>
        <v>1875.3999999999999</v>
      </c>
      <c r="G681" s="279">
        <f>'приложение 5'!R1066</f>
        <v>0</v>
      </c>
      <c r="H681" s="279">
        <f>'приложение 5'!S1066</f>
        <v>0</v>
      </c>
    </row>
    <row r="682" spans="1:8" ht="47.25">
      <c r="A682" s="117" t="s">
        <v>588</v>
      </c>
      <c r="B682" s="178" t="s">
        <v>816</v>
      </c>
      <c r="C682" s="179"/>
      <c r="D682" s="179"/>
      <c r="E682" s="262"/>
      <c r="F682" s="279">
        <f>F683</f>
        <v>473.2</v>
      </c>
      <c r="G682" s="279">
        <f>G683</f>
        <v>0</v>
      </c>
      <c r="H682" s="279">
        <f>H683</f>
        <v>0</v>
      </c>
    </row>
    <row r="683" spans="1:8" ht="47.25">
      <c r="A683" s="117" t="s">
        <v>589</v>
      </c>
      <c r="B683" s="178" t="s">
        <v>817</v>
      </c>
      <c r="C683" s="179"/>
      <c r="D683" s="179"/>
      <c r="E683" s="262"/>
      <c r="F683" s="279">
        <f>F684+F685</f>
        <v>473.2</v>
      </c>
      <c r="G683" s="279">
        <f>G684+G685</f>
        <v>0</v>
      </c>
      <c r="H683" s="279">
        <f>H684+H685</f>
        <v>0</v>
      </c>
    </row>
    <row r="684" spans="1:8" ht="47.25">
      <c r="A684" s="2" t="s">
        <v>299</v>
      </c>
      <c r="B684" s="178" t="s">
        <v>817</v>
      </c>
      <c r="C684" s="179" t="s">
        <v>592</v>
      </c>
      <c r="D684" s="179" t="s">
        <v>158</v>
      </c>
      <c r="E684" s="262">
        <v>240</v>
      </c>
      <c r="F684" s="279">
        <f>'приложение 5'!Q979</f>
        <v>104.7</v>
      </c>
      <c r="G684" s="279">
        <f>'приложение 5'!R979</f>
        <v>0</v>
      </c>
      <c r="H684" s="279">
        <f>'приложение 5'!S979</f>
        <v>0</v>
      </c>
    </row>
    <row r="685" spans="1:8" ht="47.25">
      <c r="A685" s="2" t="s">
        <v>299</v>
      </c>
      <c r="B685" s="178" t="s">
        <v>817</v>
      </c>
      <c r="C685" s="179" t="s">
        <v>745</v>
      </c>
      <c r="D685" s="179" t="s">
        <v>158</v>
      </c>
      <c r="E685" s="262">
        <v>240</v>
      </c>
      <c r="F685" s="279">
        <f>'приложение 5'!Q1069</f>
        <v>368.5</v>
      </c>
      <c r="G685" s="279">
        <f>'приложение 5'!R1069</f>
        <v>0</v>
      </c>
      <c r="H685" s="279">
        <f>'приложение 5'!S1069</f>
        <v>0</v>
      </c>
    </row>
    <row r="686" spans="1:8" ht="31.5">
      <c r="A686" s="8" t="s">
        <v>876</v>
      </c>
      <c r="B686" s="178" t="s">
        <v>874</v>
      </c>
      <c r="C686" s="179"/>
      <c r="D686" s="179"/>
      <c r="E686" s="178"/>
      <c r="F686" s="279">
        <f aca="true" t="shared" si="33" ref="F686:H687">F687</f>
        <v>3422</v>
      </c>
      <c r="G686" s="279">
        <f t="shared" si="33"/>
        <v>0</v>
      </c>
      <c r="H686" s="279">
        <f t="shared" si="33"/>
        <v>0</v>
      </c>
    </row>
    <row r="687" spans="1:8" ht="31.5">
      <c r="A687" s="8" t="str">
        <f>A658</f>
        <v>Мероприятия по благоустройству территорий населенных пунктов</v>
      </c>
      <c r="B687" s="178" t="s">
        <v>875</v>
      </c>
      <c r="C687" s="179"/>
      <c r="D687" s="179"/>
      <c r="E687" s="262"/>
      <c r="F687" s="279">
        <f t="shared" si="33"/>
        <v>3422</v>
      </c>
      <c r="G687" s="279">
        <f t="shared" si="33"/>
        <v>0</v>
      </c>
      <c r="H687" s="279">
        <f t="shared" si="33"/>
        <v>0</v>
      </c>
    </row>
    <row r="688" spans="1:8" ht="47.25">
      <c r="A688" s="8" t="str">
        <f>A690</f>
        <v>Иные закупки товаров, работ и услуг для обеспечения государственных (муниципальных) нужд</v>
      </c>
      <c r="B688" s="178" t="s">
        <v>875</v>
      </c>
      <c r="C688" s="179" t="s">
        <v>735</v>
      </c>
      <c r="D688" s="179" t="s">
        <v>158</v>
      </c>
      <c r="E688" s="262">
        <v>240</v>
      </c>
      <c r="F688" s="279">
        <f>'приложение 5'!Q630</f>
        <v>3422</v>
      </c>
      <c r="G688" s="279">
        <f>'приложение 5'!R630</f>
        <v>0</v>
      </c>
      <c r="H688" s="279">
        <f>'приложение 5'!S630</f>
        <v>0</v>
      </c>
    </row>
    <row r="689" spans="1:8" ht="31.5" hidden="1">
      <c r="A689" s="8" t="s">
        <v>569</v>
      </c>
      <c r="B689" s="178" t="s">
        <v>818</v>
      </c>
      <c r="C689" s="179"/>
      <c r="D689" s="179"/>
      <c r="E689" s="262"/>
      <c r="F689" s="279">
        <f>F690</f>
        <v>0</v>
      </c>
      <c r="G689" s="279">
        <f>G690</f>
        <v>0</v>
      </c>
      <c r="H689" s="279">
        <f>H690</f>
        <v>0</v>
      </c>
    </row>
    <row r="690" spans="1:8" ht="47.25" hidden="1">
      <c r="A690" s="2" t="s">
        <v>299</v>
      </c>
      <c r="B690" s="178" t="s">
        <v>818</v>
      </c>
      <c r="C690" s="179" t="s">
        <v>735</v>
      </c>
      <c r="D690" s="179" t="s">
        <v>158</v>
      </c>
      <c r="E690" s="262">
        <v>240</v>
      </c>
      <c r="F690" s="279">
        <f>'приложение 5'!Q632</f>
        <v>0</v>
      </c>
      <c r="G690" s="279">
        <f>'приложение 5'!R632</f>
        <v>0</v>
      </c>
      <c r="H690" s="279">
        <f>'приложение 5'!S632</f>
        <v>0</v>
      </c>
    </row>
    <row r="691" spans="1:8" ht="47.25" hidden="1">
      <c r="A691" s="80" t="s">
        <v>852</v>
      </c>
      <c r="B691" s="197" t="s">
        <v>853</v>
      </c>
      <c r="C691" s="204"/>
      <c r="D691" s="204"/>
      <c r="E691" s="418"/>
      <c r="F691" s="291">
        <f>F692</f>
        <v>0</v>
      </c>
      <c r="G691" s="291">
        <f aca="true" t="shared" si="34" ref="G691:H693">G692</f>
        <v>0</v>
      </c>
      <c r="H691" s="291">
        <f t="shared" si="34"/>
        <v>0</v>
      </c>
    </row>
    <row r="692" spans="1:8" ht="31.5" hidden="1">
      <c r="A692" s="2" t="s">
        <v>854</v>
      </c>
      <c r="B692" s="178" t="s">
        <v>855</v>
      </c>
      <c r="C692" s="179"/>
      <c r="D692" s="179"/>
      <c r="E692" s="262"/>
      <c r="F692" s="279">
        <f>F693</f>
        <v>0</v>
      </c>
      <c r="G692" s="279">
        <f t="shared" si="34"/>
        <v>0</v>
      </c>
      <c r="H692" s="279">
        <f t="shared" si="34"/>
        <v>0</v>
      </c>
    </row>
    <row r="693" spans="1:8" ht="31.5" hidden="1">
      <c r="A693" s="2" t="s">
        <v>856</v>
      </c>
      <c r="B693" s="178" t="s">
        <v>857</v>
      </c>
      <c r="C693" s="179"/>
      <c r="D693" s="179"/>
      <c r="E693" s="262"/>
      <c r="F693" s="279">
        <f>F694</f>
        <v>0</v>
      </c>
      <c r="G693" s="279">
        <f t="shared" si="34"/>
        <v>0</v>
      </c>
      <c r="H693" s="279">
        <f t="shared" si="34"/>
        <v>0</v>
      </c>
    </row>
    <row r="694" spans="1:8" ht="47.25" hidden="1">
      <c r="A694" s="2" t="s">
        <v>299</v>
      </c>
      <c r="B694" s="178" t="str">
        <f>B693</f>
        <v>21 0 02 23040</v>
      </c>
      <c r="C694" s="179" t="s">
        <v>616</v>
      </c>
      <c r="D694" s="179" t="s">
        <v>858</v>
      </c>
      <c r="E694" s="262">
        <v>240</v>
      </c>
      <c r="F694" s="279">
        <f>'приложение 5'!Q297</f>
        <v>0</v>
      </c>
      <c r="G694" s="279">
        <f>'приложение 5'!R297</f>
        <v>0</v>
      </c>
      <c r="H694" s="279">
        <f>'приложение 5'!S297</f>
        <v>0</v>
      </c>
    </row>
    <row r="695" spans="1:8" ht="31.5">
      <c r="A695" s="2" t="s">
        <v>1098</v>
      </c>
      <c r="B695" s="178" t="s">
        <v>1100</v>
      </c>
      <c r="C695" s="179"/>
      <c r="D695" s="179"/>
      <c r="E695" s="262"/>
      <c r="F695" s="279">
        <f aca="true" t="shared" si="35" ref="F695:H696">F696</f>
        <v>600</v>
      </c>
      <c r="G695" s="279">
        <f t="shared" si="35"/>
        <v>1400</v>
      </c>
      <c r="H695" s="279">
        <f t="shared" si="35"/>
        <v>0</v>
      </c>
    </row>
    <row r="696" spans="1:8" ht="15.75">
      <c r="A696" s="2" t="s">
        <v>1097</v>
      </c>
      <c r="B696" s="178" t="s">
        <v>1101</v>
      </c>
      <c r="C696" s="179"/>
      <c r="D696" s="179"/>
      <c r="E696" s="262"/>
      <c r="F696" s="279">
        <f t="shared" si="35"/>
        <v>600</v>
      </c>
      <c r="G696" s="279">
        <f t="shared" si="35"/>
        <v>1400</v>
      </c>
      <c r="H696" s="279">
        <f t="shared" si="35"/>
        <v>0</v>
      </c>
    </row>
    <row r="697" spans="1:8" ht="47.25">
      <c r="A697" s="2" t="s">
        <v>299</v>
      </c>
      <c r="B697" s="178" t="s">
        <v>1101</v>
      </c>
      <c r="C697" s="179" t="s">
        <v>616</v>
      </c>
      <c r="D697" s="179" t="s">
        <v>408</v>
      </c>
      <c r="E697" s="262">
        <v>240</v>
      </c>
      <c r="F697" s="279">
        <f>'приложение 5'!Q311</f>
        <v>600</v>
      </c>
      <c r="G697" s="279">
        <f>'приложение 5'!R311</f>
        <v>1400</v>
      </c>
      <c r="H697" s="279">
        <f>'приложение 5'!S311</f>
        <v>0</v>
      </c>
    </row>
    <row r="698" spans="1:8" s="205" customFormat="1" ht="78.75">
      <c r="A698" s="374" t="s">
        <v>343</v>
      </c>
      <c r="B698" s="197" t="s">
        <v>23</v>
      </c>
      <c r="C698" s="204"/>
      <c r="D698" s="204"/>
      <c r="E698" s="197"/>
      <c r="F698" s="291">
        <f>F699</f>
        <v>610319.3999999999</v>
      </c>
      <c r="G698" s="291">
        <f>G699</f>
        <v>0</v>
      </c>
      <c r="H698" s="291">
        <f>H699</f>
        <v>0</v>
      </c>
    </row>
    <row r="699" spans="1:8" ht="47.25">
      <c r="A699" s="366" t="s">
        <v>399</v>
      </c>
      <c r="B699" s="178" t="s">
        <v>400</v>
      </c>
      <c r="C699" s="179"/>
      <c r="D699" s="179"/>
      <c r="E699" s="178"/>
      <c r="F699" s="279">
        <f>F700+F703+F706</f>
        <v>610319.3999999999</v>
      </c>
      <c r="G699" s="279">
        <f>G700+G703+G706</f>
        <v>0</v>
      </c>
      <c r="H699" s="279">
        <f>H700+H703+H706</f>
        <v>0</v>
      </c>
    </row>
    <row r="700" spans="1:8" ht="47.25">
      <c r="A700" s="12" t="s">
        <v>338</v>
      </c>
      <c r="B700" s="178" t="s">
        <v>436</v>
      </c>
      <c r="C700" s="179"/>
      <c r="D700" s="179"/>
      <c r="E700" s="178"/>
      <c r="F700" s="279">
        <f>F701+F702</f>
        <v>172204.8</v>
      </c>
      <c r="G700" s="279">
        <f>G701+G702</f>
        <v>0</v>
      </c>
      <c r="H700" s="279">
        <f>H701+H702</f>
        <v>0</v>
      </c>
    </row>
    <row r="701" spans="1:8" ht="15.75">
      <c r="A701" s="369" t="s">
        <v>201</v>
      </c>
      <c r="B701" s="178" t="s">
        <v>436</v>
      </c>
      <c r="C701" s="179" t="s">
        <v>616</v>
      </c>
      <c r="D701" s="179" t="s">
        <v>105</v>
      </c>
      <c r="E701" s="178">
        <v>410</v>
      </c>
      <c r="F701" s="279">
        <f>'приложение 5'!Q234</f>
        <v>154654</v>
      </c>
      <c r="G701" s="279">
        <f>'приложение 5'!R234</f>
        <v>0</v>
      </c>
      <c r="H701" s="279">
        <f>'приложение 5'!S234</f>
        <v>0</v>
      </c>
    </row>
    <row r="702" spans="1:8" ht="15.75">
      <c r="A702" s="8" t="s">
        <v>300</v>
      </c>
      <c r="B702" s="178" t="s">
        <v>436</v>
      </c>
      <c r="C702" s="179" t="s">
        <v>616</v>
      </c>
      <c r="D702" s="179" t="s">
        <v>105</v>
      </c>
      <c r="E702" s="178">
        <v>850</v>
      </c>
      <c r="F702" s="279">
        <f>'приложение 5'!Q235</f>
        <v>17550.8</v>
      </c>
      <c r="G702" s="279">
        <f>'приложение 5'!R235</f>
        <v>0</v>
      </c>
      <c r="H702" s="279">
        <f>'приложение 5'!S235</f>
        <v>0</v>
      </c>
    </row>
    <row r="703" spans="1:8" ht="47.25">
      <c r="A703" s="369" t="s">
        <v>339</v>
      </c>
      <c r="B703" s="155" t="s">
        <v>349</v>
      </c>
      <c r="C703" s="182"/>
      <c r="D703" s="182"/>
      <c r="E703" s="155"/>
      <c r="F703" s="279">
        <f>F704+F705</f>
        <v>437095.1</v>
      </c>
      <c r="G703" s="279">
        <f>G704+G705</f>
        <v>0</v>
      </c>
      <c r="H703" s="279">
        <f>H704+H705</f>
        <v>0</v>
      </c>
    </row>
    <row r="704" spans="1:8" ht="15.75">
      <c r="A704" s="369" t="s">
        <v>201</v>
      </c>
      <c r="B704" s="155" t="s">
        <v>349</v>
      </c>
      <c r="C704" s="179" t="s">
        <v>616</v>
      </c>
      <c r="D704" s="182" t="s">
        <v>105</v>
      </c>
      <c r="E704" s="155">
        <v>410</v>
      </c>
      <c r="F704" s="279">
        <f>'приложение 5'!Q237</f>
        <v>429396.89999999997</v>
      </c>
      <c r="G704" s="279">
        <f>'приложение 5'!R237</f>
        <v>0</v>
      </c>
      <c r="H704" s="279">
        <f>'приложение 5'!S237</f>
        <v>0</v>
      </c>
    </row>
    <row r="705" spans="1:8" ht="15.75">
      <c r="A705" s="8" t="s">
        <v>300</v>
      </c>
      <c r="B705" s="178" t="s">
        <v>349</v>
      </c>
      <c r="C705" s="179" t="s">
        <v>616</v>
      </c>
      <c r="D705" s="179" t="s">
        <v>105</v>
      </c>
      <c r="E705" s="178">
        <v>850</v>
      </c>
      <c r="F705" s="279">
        <f>'приложение 5'!Q238</f>
        <v>7698.2</v>
      </c>
      <c r="G705" s="279">
        <f>'приложение 5'!R238</f>
        <v>0</v>
      </c>
      <c r="H705" s="279">
        <f>'приложение 5'!S238</f>
        <v>0</v>
      </c>
    </row>
    <row r="706" spans="1:8" ht="47.25">
      <c r="A706" s="366" t="s">
        <v>822</v>
      </c>
      <c r="B706" s="155" t="s">
        <v>352</v>
      </c>
      <c r="C706" s="182"/>
      <c r="D706" s="182"/>
      <c r="E706" s="155"/>
      <c r="F706" s="279">
        <f>F707+F708</f>
        <v>1019.5</v>
      </c>
      <c r="G706" s="279">
        <f>G707+G708</f>
        <v>0</v>
      </c>
      <c r="H706" s="279">
        <f>H707+H708</f>
        <v>0</v>
      </c>
    </row>
    <row r="707" spans="1:8" ht="47.25">
      <c r="A707" s="2" t="s">
        <v>299</v>
      </c>
      <c r="B707" s="155" t="s">
        <v>352</v>
      </c>
      <c r="C707" s="179" t="s">
        <v>616</v>
      </c>
      <c r="D707" s="182" t="s">
        <v>105</v>
      </c>
      <c r="E707" s="155">
        <v>240</v>
      </c>
      <c r="F707" s="279">
        <f>'приложение 5'!Q240</f>
        <v>19.5</v>
      </c>
      <c r="G707" s="279">
        <f>'приложение 5'!R240</f>
        <v>0</v>
      </c>
      <c r="H707" s="279">
        <f>'приложение 5'!S240</f>
        <v>0</v>
      </c>
    </row>
    <row r="708" spans="1:8" ht="15.75">
      <c r="A708" s="8" t="s">
        <v>318</v>
      </c>
      <c r="B708" s="155" t="s">
        <v>352</v>
      </c>
      <c r="C708" s="179" t="s">
        <v>616</v>
      </c>
      <c r="D708" s="182" t="s">
        <v>105</v>
      </c>
      <c r="E708" s="155">
        <v>620</v>
      </c>
      <c r="F708" s="279">
        <f>'приложение 5'!Q241</f>
        <v>1000</v>
      </c>
      <c r="G708" s="279">
        <f>'приложение 5'!R241</f>
        <v>0</v>
      </c>
      <c r="H708" s="279">
        <f>'приложение 5'!S241</f>
        <v>0</v>
      </c>
    </row>
    <row r="709" spans="1:8" s="205" customFormat="1" ht="14.25">
      <c r="A709" s="474" t="s">
        <v>169</v>
      </c>
      <c r="B709" s="475"/>
      <c r="C709" s="475"/>
      <c r="D709" s="475"/>
      <c r="E709" s="476"/>
      <c r="F709" s="299">
        <f>F17+F48+F63+F89+F193+F217+F228+F256+F282+F328+F347+F355+F369+F387+F419+F442+F605+F612+F656+F698+F691</f>
        <v>1702134.5999999996</v>
      </c>
      <c r="G709" s="294">
        <f>G17+G48+G63+G89+G193+G217+G228+G256+G282+G328+G347+G355+G369+G387+G419+G442+G605+G612+G656+G698</f>
        <v>684982</v>
      </c>
      <c r="H709" s="294">
        <f>H17+H48+H63+H89+H193+H217+H228+H256+H282+H328+H347+H355+H369+H387+H419+H442+H605+H612+H656+H698</f>
        <v>717867.4</v>
      </c>
    </row>
    <row r="710" spans="6:8" ht="15">
      <c r="F710" s="295" t="s">
        <v>262</v>
      </c>
      <c r="H710" s="296"/>
    </row>
    <row r="711" ht="15">
      <c r="H711" s="296" t="s">
        <v>202</v>
      </c>
    </row>
    <row r="713" spans="7:8" ht="15">
      <c r="G713" s="289"/>
      <c r="H713" s="289"/>
    </row>
    <row r="715" spans="7:9" ht="15">
      <c r="G715" s="289"/>
      <c r="H715" s="289"/>
      <c r="I715" s="289"/>
    </row>
    <row r="716" spans="7:8" ht="15">
      <c r="G716" s="289"/>
      <c r="H716" s="289"/>
    </row>
    <row r="717" spans="6:8" ht="15.75">
      <c r="F717" s="30"/>
      <c r="G717" s="173"/>
      <c r="H717" s="173"/>
    </row>
  </sheetData>
  <sheetProtection/>
  <mergeCells count="17">
    <mergeCell ref="A11:F11"/>
    <mergeCell ref="A10:F10"/>
    <mergeCell ref="B1:F1"/>
    <mergeCell ref="B3:F3"/>
    <mergeCell ref="B4:F4"/>
    <mergeCell ref="B7:F7"/>
    <mergeCell ref="B2:G2"/>
    <mergeCell ref="B5:H5"/>
    <mergeCell ref="B6:G6"/>
    <mergeCell ref="A12:F12"/>
    <mergeCell ref="A709:E709"/>
    <mergeCell ref="A14:A15"/>
    <mergeCell ref="B14:B15"/>
    <mergeCell ref="C14:C15"/>
    <mergeCell ref="D14:D15"/>
    <mergeCell ref="E14:E15"/>
    <mergeCell ref="F14:H14"/>
  </mergeCells>
  <printOptions/>
  <pageMargins left="0.3937007874015748" right="0.15748031496062992" top="0.7480314960629921" bottom="0.7480314960629921" header="0.31496062992125984" footer="0.31496062992125984"/>
  <pageSetup fitToHeight="0" fitToWidth="1"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B2" sqref="B2:H2"/>
    </sheetView>
  </sheetViews>
  <sheetFormatPr defaultColWidth="9.140625" defaultRowHeight="15"/>
  <cols>
    <col min="1" max="1" width="43.28125" style="149" customWidth="1"/>
    <col min="2" max="2" width="15.00390625" style="149" customWidth="1"/>
    <col min="3" max="3" width="6.8515625" style="153" customWidth="1"/>
    <col min="4" max="4" width="5.28125" style="153" customWidth="1"/>
    <col min="5" max="5" width="6.28125" style="149" customWidth="1"/>
    <col min="6" max="6" width="10.8515625" style="154" hidden="1" customWidth="1"/>
    <col min="7" max="7" width="10.7109375" style="154" customWidth="1"/>
    <col min="8" max="8" width="10.140625" style="154" customWidth="1"/>
    <col min="9" max="16384" width="9.140625" style="149" customWidth="1"/>
  </cols>
  <sheetData>
    <row r="1" spans="2:8" ht="18.75">
      <c r="B1" s="482" t="s">
        <v>353</v>
      </c>
      <c r="C1" s="482"/>
      <c r="D1" s="482"/>
      <c r="E1" s="482"/>
      <c r="F1" s="482"/>
      <c r="G1" s="482"/>
      <c r="H1" s="482"/>
    </row>
    <row r="2" spans="2:8" ht="18.75">
      <c r="B2" s="491" t="s">
        <v>184</v>
      </c>
      <c r="C2" s="491"/>
      <c r="D2" s="491"/>
      <c r="E2" s="491"/>
      <c r="F2" s="491"/>
      <c r="G2" s="491"/>
      <c r="H2" s="491"/>
    </row>
    <row r="3" spans="2:8" ht="18.75">
      <c r="B3" s="491" t="s">
        <v>395</v>
      </c>
      <c r="C3" s="491"/>
      <c r="D3" s="491"/>
      <c r="E3" s="491"/>
      <c r="F3" s="491"/>
      <c r="G3" s="491"/>
      <c r="H3" s="491"/>
    </row>
    <row r="4" spans="1:9" ht="22.5" customHeight="1">
      <c r="A4" s="148"/>
      <c r="B4" s="490" t="s">
        <v>397</v>
      </c>
      <c r="C4" s="490"/>
      <c r="D4" s="490"/>
      <c r="E4" s="490"/>
      <c r="F4" s="169"/>
      <c r="G4" s="169"/>
      <c r="H4" s="169"/>
      <c r="I4" s="169"/>
    </row>
    <row r="5" spans="1:9" ht="22.5" customHeight="1">
      <c r="A5" s="148"/>
      <c r="B5" s="485" t="s">
        <v>184</v>
      </c>
      <c r="C5" s="485"/>
      <c r="D5" s="485"/>
      <c r="E5" s="485"/>
      <c r="F5" s="485"/>
      <c r="G5" s="485"/>
      <c r="H5" s="485"/>
      <c r="I5" s="485"/>
    </row>
    <row r="6" spans="1:9" ht="19.5" customHeight="1">
      <c r="A6" s="148"/>
      <c r="B6" s="490" t="s">
        <v>185</v>
      </c>
      <c r="C6" s="490"/>
      <c r="D6" s="490"/>
      <c r="E6" s="490"/>
      <c r="F6" s="490"/>
      <c r="G6" s="490"/>
      <c r="H6" s="490"/>
      <c r="I6" s="490"/>
    </row>
    <row r="7" spans="1:9" ht="19.5" customHeight="1">
      <c r="A7" s="148"/>
      <c r="B7" s="490" t="s">
        <v>356</v>
      </c>
      <c r="C7" s="490"/>
      <c r="D7" s="490"/>
      <c r="E7" s="490"/>
      <c r="F7" s="490"/>
      <c r="G7" s="490"/>
      <c r="H7" s="490"/>
      <c r="I7" s="490"/>
    </row>
    <row r="8" spans="1:9" ht="18.75">
      <c r="A8" s="148"/>
      <c r="B8" s="118" t="s">
        <v>396</v>
      </c>
      <c r="C8" s="118"/>
      <c r="D8" s="118"/>
      <c r="E8" s="118"/>
      <c r="F8" s="150"/>
      <c r="G8" s="150"/>
      <c r="H8" s="151"/>
      <c r="I8" s="119"/>
    </row>
    <row r="9" spans="1:9" ht="18.75">
      <c r="A9" s="148"/>
      <c r="B9" s="118"/>
      <c r="C9" s="118"/>
      <c r="D9" s="118"/>
      <c r="E9" s="118"/>
      <c r="F9" s="150"/>
      <c r="G9" s="150"/>
      <c r="H9" s="151"/>
      <c r="I9" s="119"/>
    </row>
    <row r="10" spans="1:9" ht="18.75">
      <c r="A10" s="487" t="s">
        <v>88</v>
      </c>
      <c r="B10" s="487"/>
      <c r="C10" s="487"/>
      <c r="D10" s="487"/>
      <c r="E10" s="487"/>
      <c r="F10" s="487"/>
      <c r="G10" s="487"/>
      <c r="H10" s="487"/>
      <c r="I10" s="141"/>
    </row>
    <row r="11" spans="1:9" ht="18.75">
      <c r="A11" s="487" t="s">
        <v>326</v>
      </c>
      <c r="B11" s="487"/>
      <c r="C11" s="487"/>
      <c r="D11" s="487"/>
      <c r="E11" s="487"/>
      <c r="F11" s="487"/>
      <c r="G11" s="487"/>
      <c r="H11" s="487"/>
      <c r="I11" s="140"/>
    </row>
    <row r="12" spans="1:9" ht="18.75">
      <c r="A12" s="488" t="s">
        <v>181</v>
      </c>
      <c r="B12" s="488"/>
      <c r="C12" s="488"/>
      <c r="D12" s="488"/>
      <c r="E12" s="488"/>
      <c r="F12" s="488"/>
      <c r="G12" s="488"/>
      <c r="H12" s="488"/>
      <c r="I12" s="139"/>
    </row>
    <row r="13" spans="1:8" ht="30.75" customHeight="1">
      <c r="A13" s="159"/>
      <c r="B13" s="159"/>
      <c r="C13" s="160"/>
      <c r="D13" s="160"/>
      <c r="E13" s="159"/>
      <c r="F13" s="161"/>
      <c r="G13" s="489" t="s">
        <v>361</v>
      </c>
      <c r="H13" s="489"/>
    </row>
    <row r="14" spans="1:8" ht="15.75">
      <c r="A14" s="495" t="s">
        <v>194</v>
      </c>
      <c r="B14" s="495" t="s">
        <v>190</v>
      </c>
      <c r="C14" s="496" t="s">
        <v>193</v>
      </c>
      <c r="D14" s="496" t="s">
        <v>86</v>
      </c>
      <c r="E14" s="495" t="s">
        <v>189</v>
      </c>
      <c r="F14" s="486" t="s">
        <v>188</v>
      </c>
      <c r="G14" s="486"/>
      <c r="H14" s="486"/>
    </row>
    <row r="15" spans="1:8" ht="15.75">
      <c r="A15" s="495"/>
      <c r="B15" s="495"/>
      <c r="C15" s="496"/>
      <c r="D15" s="496"/>
      <c r="E15" s="495"/>
      <c r="F15" s="162" t="s">
        <v>360</v>
      </c>
      <c r="G15" s="162" t="s">
        <v>24</v>
      </c>
      <c r="H15" s="162" t="s">
        <v>355</v>
      </c>
    </row>
    <row r="16" spans="1:8" ht="15.75">
      <c r="A16" s="163">
        <v>1</v>
      </c>
      <c r="B16" s="163">
        <v>2</v>
      </c>
      <c r="C16" s="164">
        <v>3</v>
      </c>
      <c r="D16" s="164">
        <v>4</v>
      </c>
      <c r="E16" s="163">
        <v>5</v>
      </c>
      <c r="F16" s="164">
        <v>6</v>
      </c>
      <c r="G16" s="164" t="s">
        <v>182</v>
      </c>
      <c r="H16" s="164" t="s">
        <v>183</v>
      </c>
    </row>
    <row r="17" spans="1:8" s="152" customFormat="1" ht="81.75" customHeight="1">
      <c r="A17" s="156" t="s">
        <v>327</v>
      </c>
      <c r="B17" s="143" t="s">
        <v>309</v>
      </c>
      <c r="C17" s="144"/>
      <c r="D17" s="144"/>
      <c r="E17" s="143"/>
      <c r="F17" s="147" t="e">
        <f>F18+#REF!+F21+F24+F27+#REF!</f>
        <v>#REF!</v>
      </c>
      <c r="G17" s="147" t="e">
        <f>G18+G21+G24+G27</f>
        <v>#REF!</v>
      </c>
      <c r="H17" s="147">
        <v>0</v>
      </c>
    </row>
    <row r="18" spans="1:8" ht="31.5">
      <c r="A18" s="165" t="s">
        <v>274</v>
      </c>
      <c r="B18" s="166" t="s">
        <v>314</v>
      </c>
      <c r="C18" s="167"/>
      <c r="D18" s="167"/>
      <c r="E18" s="166"/>
      <c r="F18" s="168" t="e">
        <f>F19</f>
        <v>#REF!</v>
      </c>
      <c r="G18" s="168" t="e">
        <f>G19</f>
        <v>#REF!</v>
      </c>
      <c r="H18" s="168">
        <v>0</v>
      </c>
    </row>
    <row r="19" spans="1:8" ht="47.25">
      <c r="A19" s="165" t="s">
        <v>313</v>
      </c>
      <c r="B19" s="166" t="s">
        <v>315</v>
      </c>
      <c r="C19" s="167"/>
      <c r="D19" s="167"/>
      <c r="E19" s="166"/>
      <c r="F19" s="168" t="e">
        <f>SUM(F20:F20)</f>
        <v>#REF!</v>
      </c>
      <c r="G19" s="168" t="e">
        <f>G20</f>
        <v>#REF!</v>
      </c>
      <c r="H19" s="168">
        <v>0</v>
      </c>
    </row>
    <row r="20" spans="1:8" ht="47.25">
      <c r="A20" s="165" t="s">
        <v>299</v>
      </c>
      <c r="B20" s="166" t="s">
        <v>315</v>
      </c>
      <c r="C20" s="167" t="s">
        <v>307</v>
      </c>
      <c r="D20" s="167" t="s">
        <v>90</v>
      </c>
      <c r="E20" s="166">
        <v>240</v>
      </c>
      <c r="F20" s="168" t="e">
        <f>'приложение 5'!#REF!</f>
        <v>#REF!</v>
      </c>
      <c r="G20" s="168" t="e">
        <f>#REF!</f>
        <v>#REF!</v>
      </c>
      <c r="H20" s="168">
        <v>0</v>
      </c>
    </row>
    <row r="21" spans="1:8" ht="47.25">
      <c r="A21" s="165" t="s">
        <v>3</v>
      </c>
      <c r="B21" s="166" t="s">
        <v>310</v>
      </c>
      <c r="C21" s="167"/>
      <c r="D21" s="167"/>
      <c r="E21" s="166"/>
      <c r="F21" s="168" t="e">
        <f>F22</f>
        <v>#REF!</v>
      </c>
      <c r="G21" s="168" t="e">
        <f>G22</f>
        <v>#REF!</v>
      </c>
      <c r="H21" s="168">
        <v>0</v>
      </c>
    </row>
    <row r="22" spans="1:8" ht="31.5">
      <c r="A22" s="165" t="s">
        <v>320</v>
      </c>
      <c r="B22" s="166" t="s">
        <v>18</v>
      </c>
      <c r="C22" s="167"/>
      <c r="D22" s="167"/>
      <c r="E22" s="166"/>
      <c r="F22" s="168" t="e">
        <f>F23</f>
        <v>#REF!</v>
      </c>
      <c r="G22" s="168" t="e">
        <f>G23</f>
        <v>#REF!</v>
      </c>
      <c r="H22" s="168">
        <v>0</v>
      </c>
    </row>
    <row r="23" spans="1:8" ht="47.25">
      <c r="A23" s="165" t="s">
        <v>299</v>
      </c>
      <c r="B23" s="166" t="s">
        <v>18</v>
      </c>
      <c r="C23" s="167" t="s">
        <v>307</v>
      </c>
      <c r="D23" s="167" t="s">
        <v>90</v>
      </c>
      <c r="E23" s="166">
        <v>240</v>
      </c>
      <c r="F23" s="168" t="e">
        <f>'приложение 5'!#REF!</f>
        <v>#REF!</v>
      </c>
      <c r="G23" s="168" t="e">
        <f>#REF!</f>
        <v>#REF!</v>
      </c>
      <c r="H23" s="168">
        <v>0</v>
      </c>
    </row>
    <row r="24" spans="1:8" ht="47.25">
      <c r="A24" s="165" t="s">
        <v>328</v>
      </c>
      <c r="B24" s="166" t="s">
        <v>311</v>
      </c>
      <c r="C24" s="167"/>
      <c r="D24" s="167"/>
      <c r="E24" s="166"/>
      <c r="F24" s="168" t="e">
        <f>F25</f>
        <v>#REF!</v>
      </c>
      <c r="G24" s="168" t="e">
        <f>G25</f>
        <v>#REF!</v>
      </c>
      <c r="H24" s="168">
        <v>0</v>
      </c>
    </row>
    <row r="25" spans="1:8" ht="31.5">
      <c r="A25" s="165" t="s">
        <v>320</v>
      </c>
      <c r="B25" s="166" t="s">
        <v>329</v>
      </c>
      <c r="C25" s="167"/>
      <c r="D25" s="167"/>
      <c r="E25" s="166"/>
      <c r="F25" s="168" t="e">
        <f>F26</f>
        <v>#REF!</v>
      </c>
      <c r="G25" s="168" t="e">
        <f>G26</f>
        <v>#REF!</v>
      </c>
      <c r="H25" s="168">
        <v>0</v>
      </c>
    </row>
    <row r="26" spans="1:8" ht="47.25">
      <c r="A26" s="165" t="s">
        <v>299</v>
      </c>
      <c r="B26" s="166" t="s">
        <v>329</v>
      </c>
      <c r="C26" s="167" t="s">
        <v>91</v>
      </c>
      <c r="D26" s="167" t="s">
        <v>90</v>
      </c>
      <c r="E26" s="166">
        <v>240</v>
      </c>
      <c r="F26" s="168" t="e">
        <f>'приложение 5'!#REF!</f>
        <v>#REF!</v>
      </c>
      <c r="G26" s="168" t="e">
        <f>#REF!</f>
        <v>#REF!</v>
      </c>
      <c r="H26" s="168">
        <v>0</v>
      </c>
    </row>
    <row r="27" spans="1:8" ht="63">
      <c r="A27" s="165" t="s">
        <v>433</v>
      </c>
      <c r="B27" s="166" t="s">
        <v>319</v>
      </c>
      <c r="C27" s="167"/>
      <c r="D27" s="167"/>
      <c r="E27" s="166"/>
      <c r="F27" s="168" t="e">
        <f>#REF!</f>
        <v>#REF!</v>
      </c>
      <c r="G27" s="168" t="e">
        <f>G28</f>
        <v>#REF!</v>
      </c>
      <c r="H27" s="168">
        <v>0</v>
      </c>
    </row>
    <row r="28" spans="1:8" ht="94.5">
      <c r="A28" s="165" t="s">
        <v>16</v>
      </c>
      <c r="B28" s="166" t="s">
        <v>17</v>
      </c>
      <c r="C28" s="167"/>
      <c r="D28" s="167"/>
      <c r="E28" s="166"/>
      <c r="F28" s="168"/>
      <c r="G28" s="168" t="e">
        <f>G29</f>
        <v>#REF!</v>
      </c>
      <c r="H28" s="168">
        <v>0</v>
      </c>
    </row>
    <row r="29" spans="1:8" ht="47.25">
      <c r="A29" s="165" t="s">
        <v>299</v>
      </c>
      <c r="B29" s="166" t="s">
        <v>17</v>
      </c>
      <c r="C29" s="167" t="s">
        <v>307</v>
      </c>
      <c r="D29" s="167" t="s">
        <v>90</v>
      </c>
      <c r="E29" s="166">
        <v>240</v>
      </c>
      <c r="F29" s="168"/>
      <c r="G29" s="168" t="e">
        <f>#REF!</f>
        <v>#REF!</v>
      </c>
      <c r="H29" s="168">
        <v>0</v>
      </c>
    </row>
    <row r="30" spans="1:8" s="152" customFormat="1" ht="94.5">
      <c r="A30" s="156" t="s">
        <v>26</v>
      </c>
      <c r="B30" s="143" t="s">
        <v>71</v>
      </c>
      <c r="C30" s="144"/>
      <c r="D30" s="144"/>
      <c r="E30" s="143"/>
      <c r="F30" s="147" t="e">
        <f aca="true" t="shared" si="0" ref="F30:G32">F31</f>
        <v>#REF!</v>
      </c>
      <c r="G30" s="147">
        <f t="shared" si="0"/>
        <v>30</v>
      </c>
      <c r="H30" s="147">
        <v>0</v>
      </c>
    </row>
    <row r="31" spans="1:8" ht="63">
      <c r="A31" s="157" t="s">
        <v>27</v>
      </c>
      <c r="B31" s="142" t="s">
        <v>72</v>
      </c>
      <c r="C31" s="145"/>
      <c r="D31" s="145"/>
      <c r="E31" s="142"/>
      <c r="F31" s="146" t="e">
        <f t="shared" si="0"/>
        <v>#REF!</v>
      </c>
      <c r="G31" s="146">
        <f t="shared" si="0"/>
        <v>30</v>
      </c>
      <c r="H31" s="146">
        <v>0</v>
      </c>
    </row>
    <row r="32" spans="1:8" ht="47.25">
      <c r="A32" s="157" t="s">
        <v>29</v>
      </c>
      <c r="B32" s="142" t="s">
        <v>30</v>
      </c>
      <c r="C32" s="145"/>
      <c r="D32" s="145"/>
      <c r="E32" s="142"/>
      <c r="F32" s="146" t="e">
        <f t="shared" si="0"/>
        <v>#REF!</v>
      </c>
      <c r="G32" s="146">
        <f t="shared" si="0"/>
        <v>30</v>
      </c>
      <c r="H32" s="146">
        <v>0</v>
      </c>
    </row>
    <row r="33" spans="1:8" ht="47.25">
      <c r="A33" s="157" t="s">
        <v>299</v>
      </c>
      <c r="B33" s="142" t="s">
        <v>30</v>
      </c>
      <c r="C33" s="145" t="s">
        <v>307</v>
      </c>
      <c r="D33" s="145" t="s">
        <v>97</v>
      </c>
      <c r="E33" s="142">
        <v>240</v>
      </c>
      <c r="F33" s="146" t="e">
        <f>'приложение 5'!#REF!</f>
        <v>#REF!</v>
      </c>
      <c r="G33" s="146">
        <v>30</v>
      </c>
      <c r="H33" s="146">
        <v>0</v>
      </c>
    </row>
    <row r="34" spans="1:8" s="152" customFormat="1" ht="110.25">
      <c r="A34" s="156" t="s">
        <v>343</v>
      </c>
      <c r="B34" s="143" t="s">
        <v>23</v>
      </c>
      <c r="C34" s="144"/>
      <c r="D34" s="144"/>
      <c r="E34" s="143"/>
      <c r="F34" s="147" t="e">
        <f>F36+F38</f>
        <v>#REF!</v>
      </c>
      <c r="G34" s="147" t="e">
        <f>G35</f>
        <v>#REF!</v>
      </c>
      <c r="H34" s="147" t="e">
        <f>H35</f>
        <v>#REF!</v>
      </c>
    </row>
    <row r="35" spans="1:8" s="152" customFormat="1" ht="63">
      <c r="A35" s="165" t="s">
        <v>399</v>
      </c>
      <c r="B35" s="166" t="s">
        <v>400</v>
      </c>
      <c r="C35" s="144"/>
      <c r="D35" s="144"/>
      <c r="E35" s="143"/>
      <c r="F35" s="147"/>
      <c r="G35" s="168" t="e">
        <f>G36+G38</f>
        <v>#REF!</v>
      </c>
      <c r="H35" s="168" t="e">
        <f>H36+H38</f>
        <v>#REF!</v>
      </c>
    </row>
    <row r="36" spans="1:8" ht="63">
      <c r="A36" s="165" t="s">
        <v>339</v>
      </c>
      <c r="B36" s="166" t="s">
        <v>349</v>
      </c>
      <c r="C36" s="167"/>
      <c r="D36" s="167"/>
      <c r="E36" s="166"/>
      <c r="F36" s="168" t="e">
        <f>F37</f>
        <v>#REF!</v>
      </c>
      <c r="G36" s="168" t="e">
        <f>G37</f>
        <v>#REF!</v>
      </c>
      <c r="H36" s="168" t="e">
        <f>H37</f>
        <v>#REF!</v>
      </c>
    </row>
    <row r="37" spans="1:8" ht="15.75">
      <c r="A37" s="165" t="s">
        <v>201</v>
      </c>
      <c r="B37" s="166" t="s">
        <v>349</v>
      </c>
      <c r="C37" s="167" t="s">
        <v>307</v>
      </c>
      <c r="D37" s="167" t="s">
        <v>105</v>
      </c>
      <c r="E37" s="166">
        <v>410</v>
      </c>
      <c r="F37" s="168" t="e">
        <f>'приложение 5'!#REF!</f>
        <v>#REF!</v>
      </c>
      <c r="G37" s="168" t="e">
        <f>#REF!</f>
        <v>#REF!</v>
      </c>
      <c r="H37" s="168" t="e">
        <f>#REF!</f>
        <v>#REF!</v>
      </c>
    </row>
    <row r="38" spans="1:8" ht="63">
      <c r="A38" s="165" t="s">
        <v>351</v>
      </c>
      <c r="B38" s="166" t="s">
        <v>352</v>
      </c>
      <c r="C38" s="167"/>
      <c r="D38" s="167"/>
      <c r="E38" s="166"/>
      <c r="F38" s="168" t="e">
        <f>F39</f>
        <v>#REF!</v>
      </c>
      <c r="G38" s="168" t="e">
        <f>G39</f>
        <v>#REF!</v>
      </c>
      <c r="H38" s="168" t="e">
        <f>H39</f>
        <v>#REF!</v>
      </c>
    </row>
    <row r="39" spans="1:8" ht="15.75">
      <c r="A39" s="165" t="s">
        <v>201</v>
      </c>
      <c r="B39" s="166" t="s">
        <v>352</v>
      </c>
      <c r="C39" s="167" t="s">
        <v>307</v>
      </c>
      <c r="D39" s="167" t="s">
        <v>105</v>
      </c>
      <c r="E39" s="166">
        <v>410</v>
      </c>
      <c r="F39" s="168" t="e">
        <f>'приложение 5'!#REF!</f>
        <v>#REF!</v>
      </c>
      <c r="G39" s="168" t="e">
        <f>#REF!</f>
        <v>#REF!</v>
      </c>
      <c r="H39" s="168" t="e">
        <f>#REF!</f>
        <v>#REF!</v>
      </c>
    </row>
    <row r="40" spans="1:8" s="152" customFormat="1" ht="78.75">
      <c r="A40" s="156" t="s">
        <v>290</v>
      </c>
      <c r="B40" s="143" t="s">
        <v>106</v>
      </c>
      <c r="C40" s="144"/>
      <c r="D40" s="144"/>
      <c r="E40" s="143"/>
      <c r="F40" s="147" t="e">
        <f>F41+F44+F49+F54+F62</f>
        <v>#REF!</v>
      </c>
      <c r="G40" s="147" t="e">
        <f>G41+G44+G49+G54+G62</f>
        <v>#REF!</v>
      </c>
      <c r="H40" s="147" t="e">
        <f>H41+H44+H49+H54+H62</f>
        <v>#REF!</v>
      </c>
    </row>
    <row r="41" spans="1:8" ht="78.75">
      <c r="A41" s="165" t="s">
        <v>168</v>
      </c>
      <c r="B41" s="166" t="s">
        <v>107</v>
      </c>
      <c r="C41" s="167"/>
      <c r="D41" s="167"/>
      <c r="E41" s="166"/>
      <c r="F41" s="168" t="e">
        <f aca="true" t="shared" si="1" ref="F41:H42">F42</f>
        <v>#REF!</v>
      </c>
      <c r="G41" s="168" t="e">
        <f t="shared" si="1"/>
        <v>#REF!</v>
      </c>
      <c r="H41" s="168" t="e">
        <f t="shared" si="1"/>
        <v>#REF!</v>
      </c>
    </row>
    <row r="42" spans="1:8" ht="94.5">
      <c r="A42" s="165" t="s">
        <v>186</v>
      </c>
      <c r="B42" s="166" t="s">
        <v>108</v>
      </c>
      <c r="C42" s="167"/>
      <c r="D42" s="167"/>
      <c r="E42" s="166"/>
      <c r="F42" s="168" t="e">
        <f t="shared" si="1"/>
        <v>#REF!</v>
      </c>
      <c r="G42" s="168" t="e">
        <f t="shared" si="1"/>
        <v>#REF!</v>
      </c>
      <c r="H42" s="168" t="e">
        <f t="shared" si="1"/>
        <v>#REF!</v>
      </c>
    </row>
    <row r="43" spans="1:8" ht="47.25">
      <c r="A43" s="165" t="s">
        <v>299</v>
      </c>
      <c r="B43" s="166" t="s">
        <v>108</v>
      </c>
      <c r="C43" s="167" t="s">
        <v>308</v>
      </c>
      <c r="D43" s="167" t="s">
        <v>93</v>
      </c>
      <c r="E43" s="166">
        <v>240</v>
      </c>
      <c r="F43" s="168" t="e">
        <f>'приложение 5'!#REF!</f>
        <v>#REF!</v>
      </c>
      <c r="G43" s="168" t="e">
        <f>#REF!</f>
        <v>#REF!</v>
      </c>
      <c r="H43" s="168" t="e">
        <f>#REF!</f>
        <v>#REF!</v>
      </c>
    </row>
    <row r="44" spans="1:8" ht="63">
      <c r="A44" s="165" t="s">
        <v>50</v>
      </c>
      <c r="B44" s="166" t="s">
        <v>109</v>
      </c>
      <c r="C44" s="167"/>
      <c r="D44" s="167"/>
      <c r="E44" s="166"/>
      <c r="F44" s="168" t="e">
        <f>F45+F47</f>
        <v>#REF!</v>
      </c>
      <c r="G44" s="168" t="e">
        <f>G45+G47</f>
        <v>#REF!</v>
      </c>
      <c r="H44" s="168" t="e">
        <f>H45+H47</f>
        <v>#REF!</v>
      </c>
    </row>
    <row r="45" spans="1:8" ht="15.75">
      <c r="A45" s="165" t="s">
        <v>53</v>
      </c>
      <c r="B45" s="166" t="s">
        <v>110</v>
      </c>
      <c r="C45" s="167"/>
      <c r="D45" s="167"/>
      <c r="E45" s="166"/>
      <c r="F45" s="168" t="e">
        <f>F46</f>
        <v>#REF!</v>
      </c>
      <c r="G45" s="168" t="e">
        <f>G46</f>
        <v>#REF!</v>
      </c>
      <c r="H45" s="168" t="e">
        <f>H46</f>
        <v>#REF!</v>
      </c>
    </row>
    <row r="46" spans="1:8" ht="15.75">
      <c r="A46" s="165" t="s">
        <v>301</v>
      </c>
      <c r="B46" s="166" t="s">
        <v>110</v>
      </c>
      <c r="C46" s="167" t="s">
        <v>308</v>
      </c>
      <c r="D46" s="167" t="s">
        <v>92</v>
      </c>
      <c r="E46" s="166">
        <v>610</v>
      </c>
      <c r="F46" s="168" t="e">
        <f>'приложение 5'!#REF!</f>
        <v>#REF!</v>
      </c>
      <c r="G46" s="168" t="e">
        <f>#REF!</f>
        <v>#REF!</v>
      </c>
      <c r="H46" s="168" t="e">
        <f>#REF!</f>
        <v>#REF!</v>
      </c>
    </row>
    <row r="47" spans="1:8" ht="31.5">
      <c r="A47" s="165" t="s">
        <v>56</v>
      </c>
      <c r="B47" s="166" t="s">
        <v>111</v>
      </c>
      <c r="C47" s="167"/>
      <c r="D47" s="167"/>
      <c r="E47" s="166"/>
      <c r="F47" s="168" t="e">
        <f>F48</f>
        <v>#REF!</v>
      </c>
      <c r="G47" s="168" t="e">
        <f>G48</f>
        <v>#REF!</v>
      </c>
      <c r="H47" s="168" t="e">
        <f>H48</f>
        <v>#REF!</v>
      </c>
    </row>
    <row r="48" spans="1:8" ht="15.75">
      <c r="A48" s="165" t="s">
        <v>301</v>
      </c>
      <c r="B48" s="166" t="s">
        <v>111</v>
      </c>
      <c r="C48" s="167" t="s">
        <v>308</v>
      </c>
      <c r="D48" s="167" t="s">
        <v>95</v>
      </c>
      <c r="E48" s="166">
        <v>610</v>
      </c>
      <c r="F48" s="168" t="e">
        <f>'приложение 5'!#REF!</f>
        <v>#REF!</v>
      </c>
      <c r="G48" s="168" t="e">
        <f>#REF!</f>
        <v>#REF!</v>
      </c>
      <c r="H48" s="168" t="e">
        <f>#REF!</f>
        <v>#REF!</v>
      </c>
    </row>
    <row r="49" spans="1:8" ht="47.25">
      <c r="A49" s="165" t="s">
        <v>47</v>
      </c>
      <c r="B49" s="166" t="s">
        <v>112</v>
      </c>
      <c r="C49" s="167"/>
      <c r="D49" s="167"/>
      <c r="E49" s="166"/>
      <c r="F49" s="168" t="e">
        <f>F50+F52</f>
        <v>#REF!</v>
      </c>
      <c r="G49" s="168" t="e">
        <f>G50+G52</f>
        <v>#REF!</v>
      </c>
      <c r="H49" s="168" t="e">
        <f>H50+H52</f>
        <v>#REF!</v>
      </c>
    </row>
    <row r="50" spans="1:8" ht="15.75">
      <c r="A50" s="165" t="s">
        <v>53</v>
      </c>
      <c r="B50" s="166" t="s">
        <v>113</v>
      </c>
      <c r="C50" s="167"/>
      <c r="D50" s="167"/>
      <c r="E50" s="166"/>
      <c r="F50" s="168" t="e">
        <f>F51</f>
        <v>#REF!</v>
      </c>
      <c r="G50" s="168" t="e">
        <f>G51</f>
        <v>#REF!</v>
      </c>
      <c r="H50" s="168" t="e">
        <f>H51</f>
        <v>#REF!</v>
      </c>
    </row>
    <row r="51" spans="1:8" ht="15.75">
      <c r="A51" s="165" t="s">
        <v>301</v>
      </c>
      <c r="B51" s="166" t="s">
        <v>113</v>
      </c>
      <c r="C51" s="167" t="s">
        <v>308</v>
      </c>
      <c r="D51" s="167" t="s">
        <v>92</v>
      </c>
      <c r="E51" s="166">
        <v>610</v>
      </c>
      <c r="F51" s="168" t="e">
        <f>'приложение 5'!#REF!</f>
        <v>#REF!</v>
      </c>
      <c r="G51" s="168" t="e">
        <f>#REF!</f>
        <v>#REF!</v>
      </c>
      <c r="H51" s="168" t="e">
        <f>#REF!</f>
        <v>#REF!</v>
      </c>
    </row>
    <row r="52" spans="1:8" ht="31.5">
      <c r="A52" s="165" t="s">
        <v>56</v>
      </c>
      <c r="B52" s="166" t="s">
        <v>114</v>
      </c>
      <c r="C52" s="167"/>
      <c r="D52" s="167"/>
      <c r="E52" s="166"/>
      <c r="F52" s="168" t="e">
        <f>F53</f>
        <v>#REF!</v>
      </c>
      <c r="G52" s="168" t="e">
        <f>G53</f>
        <v>#REF!</v>
      </c>
      <c r="H52" s="168" t="e">
        <f>H53</f>
        <v>#REF!</v>
      </c>
    </row>
    <row r="53" spans="1:8" ht="15.75">
      <c r="A53" s="165" t="s">
        <v>301</v>
      </c>
      <c r="B53" s="166" t="s">
        <v>114</v>
      </c>
      <c r="C53" s="167" t="s">
        <v>308</v>
      </c>
      <c r="D53" s="167" t="s">
        <v>95</v>
      </c>
      <c r="E53" s="166">
        <v>610</v>
      </c>
      <c r="F53" s="168" t="e">
        <f>'приложение 5'!#REF!</f>
        <v>#REF!</v>
      </c>
      <c r="G53" s="168" t="e">
        <f>#REF!</f>
        <v>#REF!</v>
      </c>
      <c r="H53" s="168" t="e">
        <f>#REF!</f>
        <v>#REF!</v>
      </c>
    </row>
    <row r="54" spans="1:8" ht="94.5">
      <c r="A54" s="165" t="s">
        <v>289</v>
      </c>
      <c r="B54" s="166" t="s">
        <v>115</v>
      </c>
      <c r="C54" s="167"/>
      <c r="D54" s="167"/>
      <c r="E54" s="166"/>
      <c r="F54" s="168" t="e">
        <f>F55+F57+F59</f>
        <v>#REF!</v>
      </c>
      <c r="G54" s="168" t="e">
        <f>G55+G57+G59</f>
        <v>#REF!</v>
      </c>
      <c r="H54" s="168" t="e">
        <f>H55+H57+H59</f>
        <v>#REF!</v>
      </c>
    </row>
    <row r="55" spans="1:8" ht="15.75">
      <c r="A55" s="165" t="s">
        <v>53</v>
      </c>
      <c r="B55" s="166" t="s">
        <v>116</v>
      </c>
      <c r="C55" s="167"/>
      <c r="D55" s="167"/>
      <c r="E55" s="166"/>
      <c r="F55" s="168" t="e">
        <f>F56</f>
        <v>#REF!</v>
      </c>
      <c r="G55" s="168" t="e">
        <f>G56</f>
        <v>#REF!</v>
      </c>
      <c r="H55" s="168" t="e">
        <f>H56</f>
        <v>#REF!</v>
      </c>
    </row>
    <row r="56" spans="1:8" ht="15.75">
      <c r="A56" s="165" t="s">
        <v>301</v>
      </c>
      <c r="B56" s="166" t="s">
        <v>116</v>
      </c>
      <c r="C56" s="167" t="s">
        <v>308</v>
      </c>
      <c r="D56" s="167" t="s">
        <v>92</v>
      </c>
      <c r="E56" s="166">
        <v>610</v>
      </c>
      <c r="F56" s="168" t="e">
        <f>'приложение 5'!#REF!</f>
        <v>#REF!</v>
      </c>
      <c r="G56" s="168" t="e">
        <f>#REF!</f>
        <v>#REF!</v>
      </c>
      <c r="H56" s="168" t="e">
        <f>#REF!</f>
        <v>#REF!</v>
      </c>
    </row>
    <row r="57" spans="1:8" ht="31.5">
      <c r="A57" s="165" t="s">
        <v>56</v>
      </c>
      <c r="B57" s="166" t="s">
        <v>117</v>
      </c>
      <c r="C57" s="167"/>
      <c r="D57" s="167"/>
      <c r="E57" s="166"/>
      <c r="F57" s="168" t="e">
        <f>F58</f>
        <v>#REF!</v>
      </c>
      <c r="G57" s="168" t="e">
        <f>G58</f>
        <v>#REF!</v>
      </c>
      <c r="H57" s="168" t="e">
        <f>H58</f>
        <v>#REF!</v>
      </c>
    </row>
    <row r="58" spans="1:8" ht="15.75">
      <c r="A58" s="165" t="s">
        <v>301</v>
      </c>
      <c r="B58" s="166" t="s">
        <v>117</v>
      </c>
      <c r="C58" s="167" t="s">
        <v>308</v>
      </c>
      <c r="D58" s="167" t="s">
        <v>95</v>
      </c>
      <c r="E58" s="166">
        <v>610</v>
      </c>
      <c r="F58" s="168" t="e">
        <f>'приложение 5'!#REF!</f>
        <v>#REF!</v>
      </c>
      <c r="G58" s="168" t="e">
        <f>#REF!</f>
        <v>#REF!</v>
      </c>
      <c r="H58" s="168" t="e">
        <f>#REF!</f>
        <v>#REF!</v>
      </c>
    </row>
    <row r="59" spans="1:8" ht="94.5">
      <c r="A59" s="165" t="s">
        <v>186</v>
      </c>
      <c r="B59" s="166" t="s">
        <v>118</v>
      </c>
      <c r="C59" s="167"/>
      <c r="D59" s="167"/>
      <c r="E59" s="166"/>
      <c r="F59" s="168" t="e">
        <f>SUM(F60:F61)</f>
        <v>#REF!</v>
      </c>
      <c r="G59" s="168" t="e">
        <f>SUM(G60:G61)</f>
        <v>#REF!</v>
      </c>
      <c r="H59" s="168" t="e">
        <f>SUM(H60:H61)</f>
        <v>#REF!</v>
      </c>
    </row>
    <row r="60" spans="1:8" ht="47.25">
      <c r="A60" s="165" t="s">
        <v>299</v>
      </c>
      <c r="B60" s="166" t="s">
        <v>118</v>
      </c>
      <c r="C60" s="167" t="s">
        <v>308</v>
      </c>
      <c r="D60" s="167" t="s">
        <v>93</v>
      </c>
      <c r="E60" s="166">
        <v>240</v>
      </c>
      <c r="F60" s="168" t="e">
        <f>'приложение 5'!#REF!</f>
        <v>#REF!</v>
      </c>
      <c r="G60" s="168" t="e">
        <f>#REF!</f>
        <v>#REF!</v>
      </c>
      <c r="H60" s="168" t="e">
        <f>#REF!</f>
        <v>#REF!</v>
      </c>
    </row>
    <row r="61" spans="1:8" ht="47.25">
      <c r="A61" s="165" t="s">
        <v>304</v>
      </c>
      <c r="B61" s="166" t="s">
        <v>118</v>
      </c>
      <c r="C61" s="167" t="s">
        <v>308</v>
      </c>
      <c r="D61" s="167" t="s">
        <v>93</v>
      </c>
      <c r="E61" s="166">
        <v>320</v>
      </c>
      <c r="F61" s="168" t="e">
        <f>'приложение 5'!#REF!</f>
        <v>#REF!</v>
      </c>
      <c r="G61" s="168" t="e">
        <f>#REF!</f>
        <v>#REF!</v>
      </c>
      <c r="H61" s="168" t="e">
        <f>#REF!</f>
        <v>#REF!</v>
      </c>
    </row>
    <row r="62" spans="1:8" ht="78.75">
      <c r="A62" s="165" t="s">
        <v>2</v>
      </c>
      <c r="B62" s="166" t="s">
        <v>119</v>
      </c>
      <c r="C62" s="167"/>
      <c r="D62" s="167"/>
      <c r="E62" s="166"/>
      <c r="F62" s="168" t="e">
        <f>F63+F65</f>
        <v>#REF!</v>
      </c>
      <c r="G62" s="168" t="e">
        <f>G63+G65</f>
        <v>#REF!</v>
      </c>
      <c r="H62" s="168" t="e">
        <f>H63+H65</f>
        <v>#REF!</v>
      </c>
    </row>
    <row r="63" spans="1:8" ht="31.5">
      <c r="A63" s="165" t="s">
        <v>56</v>
      </c>
      <c r="B63" s="166" t="s">
        <v>120</v>
      </c>
      <c r="C63" s="167"/>
      <c r="D63" s="167"/>
      <c r="E63" s="166"/>
      <c r="F63" s="168" t="e">
        <f>F64</f>
        <v>#REF!</v>
      </c>
      <c r="G63" s="168" t="e">
        <f>G64</f>
        <v>#REF!</v>
      </c>
      <c r="H63" s="168" t="e">
        <f>H64</f>
        <v>#REF!</v>
      </c>
    </row>
    <row r="64" spans="1:8" ht="15.75">
      <c r="A64" s="165" t="s">
        <v>301</v>
      </c>
      <c r="B64" s="166" t="s">
        <v>120</v>
      </c>
      <c r="C64" s="167" t="s">
        <v>308</v>
      </c>
      <c r="D64" s="167" t="s">
        <v>95</v>
      </c>
      <c r="E64" s="166">
        <v>610</v>
      </c>
      <c r="F64" s="168" t="e">
        <f>'приложение 5'!#REF!</f>
        <v>#REF!</v>
      </c>
      <c r="G64" s="168" t="e">
        <f>#REF!</f>
        <v>#REF!</v>
      </c>
      <c r="H64" s="168" t="e">
        <f>#REF!</f>
        <v>#REF!</v>
      </c>
    </row>
    <row r="65" spans="1:8" ht="94.5">
      <c r="A65" s="165" t="s">
        <v>186</v>
      </c>
      <c r="B65" s="166" t="s">
        <v>121</v>
      </c>
      <c r="C65" s="167"/>
      <c r="D65" s="167"/>
      <c r="E65" s="166"/>
      <c r="F65" s="168" t="e">
        <f>F66</f>
        <v>#REF!</v>
      </c>
      <c r="G65" s="168" t="e">
        <f>G66</f>
        <v>#REF!</v>
      </c>
      <c r="H65" s="168" t="e">
        <f>H66</f>
        <v>#REF!</v>
      </c>
    </row>
    <row r="66" spans="1:8" ht="47.25">
      <c r="A66" s="165" t="s">
        <v>304</v>
      </c>
      <c r="B66" s="166" t="s">
        <v>121</v>
      </c>
      <c r="C66" s="167" t="s">
        <v>308</v>
      </c>
      <c r="D66" s="167" t="s">
        <v>93</v>
      </c>
      <c r="E66" s="166">
        <v>320</v>
      </c>
      <c r="F66" s="168" t="e">
        <f>'приложение 5'!#REF!</f>
        <v>#REF!</v>
      </c>
      <c r="G66" s="168" t="e">
        <f>#REF!</f>
        <v>#REF!</v>
      </c>
      <c r="H66" s="168" t="e">
        <f>#REF!</f>
        <v>#REF!</v>
      </c>
    </row>
    <row r="67" spans="1:8" s="152" customFormat="1" ht="63">
      <c r="A67" s="156" t="s">
        <v>287</v>
      </c>
      <c r="B67" s="143" t="s">
        <v>122</v>
      </c>
      <c r="C67" s="144"/>
      <c r="D67" s="144"/>
      <c r="E67" s="143"/>
      <c r="F67" s="147" t="e">
        <f>F68</f>
        <v>#REF!</v>
      </c>
      <c r="G67" s="147" t="e">
        <f>G68+G73</f>
        <v>#REF!</v>
      </c>
      <c r="H67" s="147" t="e">
        <f>H68</f>
        <v>#REF!</v>
      </c>
    </row>
    <row r="68" spans="1:8" ht="31.5">
      <c r="A68" s="165" t="s">
        <v>44</v>
      </c>
      <c r="B68" s="166" t="s">
        <v>123</v>
      </c>
      <c r="C68" s="167"/>
      <c r="D68" s="167"/>
      <c r="E68" s="166"/>
      <c r="F68" s="168" t="e">
        <f>F69</f>
        <v>#REF!</v>
      </c>
      <c r="G68" s="168" t="e">
        <f>G69+G71</f>
        <v>#REF!</v>
      </c>
      <c r="H68" s="168" t="e">
        <f>H69+H71</f>
        <v>#REF!</v>
      </c>
    </row>
    <row r="69" spans="1:8" ht="31.5">
      <c r="A69" s="165" t="s">
        <v>43</v>
      </c>
      <c r="B69" s="166" t="s">
        <v>124</v>
      </c>
      <c r="C69" s="167"/>
      <c r="D69" s="167"/>
      <c r="E69" s="166"/>
      <c r="F69" s="168" t="e">
        <f>F70</f>
        <v>#REF!</v>
      </c>
      <c r="G69" s="168" t="e">
        <f>G70</f>
        <v>#REF!</v>
      </c>
      <c r="H69" s="168" t="e">
        <f>H70</f>
        <v>#REF!</v>
      </c>
    </row>
    <row r="70" spans="1:8" ht="15.75">
      <c r="A70" s="165" t="s">
        <v>301</v>
      </c>
      <c r="B70" s="166" t="s">
        <v>124</v>
      </c>
      <c r="C70" s="167" t="s">
        <v>307</v>
      </c>
      <c r="D70" s="167" t="s">
        <v>125</v>
      </c>
      <c r="E70" s="166">
        <v>610</v>
      </c>
      <c r="F70" s="168" t="e">
        <f>'приложение 5'!#REF!</f>
        <v>#REF!</v>
      </c>
      <c r="G70" s="168" t="e">
        <f>#REF!</f>
        <v>#REF!</v>
      </c>
      <c r="H70" s="168" t="e">
        <f>#REF!</f>
        <v>#REF!</v>
      </c>
    </row>
    <row r="71" spans="1:8" ht="78.75">
      <c r="A71" s="8" t="s">
        <v>374</v>
      </c>
      <c r="B71" s="166" t="s">
        <v>379</v>
      </c>
      <c r="C71" s="145"/>
      <c r="D71" s="145"/>
      <c r="E71" s="142"/>
      <c r="F71" s="168"/>
      <c r="G71" s="168" t="e">
        <f>G72</f>
        <v>#REF!</v>
      </c>
      <c r="H71" s="168" t="e">
        <f>H72</f>
        <v>#REF!</v>
      </c>
    </row>
    <row r="72" spans="1:8" ht="15.75">
      <c r="A72" s="8" t="s">
        <v>301</v>
      </c>
      <c r="B72" s="166" t="s">
        <v>379</v>
      </c>
      <c r="C72" s="167" t="s">
        <v>307</v>
      </c>
      <c r="D72" s="167" t="s">
        <v>125</v>
      </c>
      <c r="E72" s="142">
        <v>610</v>
      </c>
      <c r="F72" s="168"/>
      <c r="G72" s="168" t="e">
        <f>#REF!</f>
        <v>#REF!</v>
      </c>
      <c r="H72" s="168" t="e">
        <f>#REF!</f>
        <v>#REF!</v>
      </c>
    </row>
    <row r="73" spans="1:8" ht="63">
      <c r="A73" s="165" t="s">
        <v>288</v>
      </c>
      <c r="B73" s="166" t="s">
        <v>126</v>
      </c>
      <c r="C73" s="167"/>
      <c r="D73" s="167"/>
      <c r="E73" s="166"/>
      <c r="F73" s="168"/>
      <c r="G73" s="168" t="e">
        <f>G74</f>
        <v>#REF!</v>
      </c>
      <c r="H73" s="168">
        <v>0</v>
      </c>
    </row>
    <row r="74" spans="1:8" ht="15.75">
      <c r="A74" s="165" t="s">
        <v>301</v>
      </c>
      <c r="B74" s="166" t="s">
        <v>126</v>
      </c>
      <c r="C74" s="167" t="s">
        <v>307</v>
      </c>
      <c r="D74" s="167" t="s">
        <v>125</v>
      </c>
      <c r="E74" s="166">
        <v>610</v>
      </c>
      <c r="F74" s="168"/>
      <c r="G74" s="168" t="e">
        <f>#REF!</f>
        <v>#REF!</v>
      </c>
      <c r="H74" s="168">
        <v>0</v>
      </c>
    </row>
    <row r="75" spans="1:8" s="152" customFormat="1" ht="63">
      <c r="A75" s="156" t="s">
        <v>83</v>
      </c>
      <c r="B75" s="143" t="s">
        <v>127</v>
      </c>
      <c r="C75" s="144"/>
      <c r="D75" s="144"/>
      <c r="E75" s="143"/>
      <c r="F75" s="147"/>
      <c r="G75" s="147" t="e">
        <f>G76+G79+G84</f>
        <v>#REF!</v>
      </c>
      <c r="H75" s="147" t="e">
        <f>H76+H79+H84</f>
        <v>#REF!</v>
      </c>
    </row>
    <row r="76" spans="1:8" ht="94.5">
      <c r="A76" s="165" t="s">
        <v>66</v>
      </c>
      <c r="B76" s="166" t="s">
        <v>128</v>
      </c>
      <c r="C76" s="167"/>
      <c r="D76" s="167"/>
      <c r="E76" s="166"/>
      <c r="F76" s="168"/>
      <c r="G76" s="168" t="e">
        <f>G77</f>
        <v>#REF!</v>
      </c>
      <c r="H76" s="168" t="e">
        <f>H77</f>
        <v>#REF!</v>
      </c>
    </row>
    <row r="77" spans="1:8" ht="15.75">
      <c r="A77" s="165" t="s">
        <v>8</v>
      </c>
      <c r="B77" s="166" t="s">
        <v>129</v>
      </c>
      <c r="C77" s="167"/>
      <c r="D77" s="167"/>
      <c r="E77" s="166"/>
      <c r="F77" s="168"/>
      <c r="G77" s="168" t="e">
        <f>G78</f>
        <v>#REF!</v>
      </c>
      <c r="H77" s="168" t="e">
        <f>H78</f>
        <v>#REF!</v>
      </c>
    </row>
    <row r="78" spans="1:8" ht="15.75">
      <c r="A78" s="165" t="s">
        <v>301</v>
      </c>
      <c r="B78" s="166" t="s">
        <v>129</v>
      </c>
      <c r="C78" s="167" t="s">
        <v>307</v>
      </c>
      <c r="D78" s="167" t="s">
        <v>97</v>
      </c>
      <c r="E78" s="166">
        <v>610</v>
      </c>
      <c r="F78" s="168"/>
      <c r="G78" s="168" t="e">
        <f>#REF!</f>
        <v>#REF!</v>
      </c>
      <c r="H78" s="168" t="e">
        <f>#REF!</f>
        <v>#REF!</v>
      </c>
    </row>
    <row r="79" spans="1:8" ht="47.25">
      <c r="A79" s="165" t="s">
        <v>272</v>
      </c>
      <c r="B79" s="166" t="s">
        <v>130</v>
      </c>
      <c r="C79" s="167"/>
      <c r="D79" s="167"/>
      <c r="E79" s="166"/>
      <c r="F79" s="168"/>
      <c r="G79" s="168" t="e">
        <f>G80+G82</f>
        <v>#REF!</v>
      </c>
      <c r="H79" s="168" t="e">
        <f>H80+H82</f>
        <v>#REF!</v>
      </c>
    </row>
    <row r="80" spans="1:8" ht="15.75">
      <c r="A80" s="165" t="s">
        <v>8</v>
      </c>
      <c r="B80" s="166" t="s">
        <v>131</v>
      </c>
      <c r="C80" s="167"/>
      <c r="D80" s="167"/>
      <c r="E80" s="166"/>
      <c r="F80" s="168"/>
      <c r="G80" s="168" t="e">
        <f>G81</f>
        <v>#REF!</v>
      </c>
      <c r="H80" s="168" t="e">
        <f>H81</f>
        <v>#REF!</v>
      </c>
    </row>
    <row r="81" spans="1:8" ht="15.75">
      <c r="A81" s="165" t="s">
        <v>301</v>
      </c>
      <c r="B81" s="166" t="s">
        <v>131</v>
      </c>
      <c r="C81" s="167" t="s">
        <v>307</v>
      </c>
      <c r="D81" s="167" t="s">
        <v>97</v>
      </c>
      <c r="E81" s="166">
        <v>610</v>
      </c>
      <c r="F81" s="168"/>
      <c r="G81" s="168" t="e">
        <f>#REF!</f>
        <v>#REF!</v>
      </c>
      <c r="H81" s="168" t="e">
        <f>#REF!</f>
        <v>#REF!</v>
      </c>
    </row>
    <row r="82" spans="1:8" ht="78.75">
      <c r="A82" s="2" t="s">
        <v>374</v>
      </c>
      <c r="B82" s="166" t="s">
        <v>375</v>
      </c>
      <c r="C82" s="167"/>
      <c r="D82" s="167"/>
      <c r="E82" s="166"/>
      <c r="F82" s="168"/>
      <c r="G82" s="168" t="e">
        <f>G83</f>
        <v>#REF!</v>
      </c>
      <c r="H82" s="168" t="e">
        <f>H83</f>
        <v>#REF!</v>
      </c>
    </row>
    <row r="83" spans="1:8" ht="15.75">
      <c r="A83" s="2" t="s">
        <v>301</v>
      </c>
      <c r="B83" s="166" t="s">
        <v>375</v>
      </c>
      <c r="C83" s="167" t="s">
        <v>307</v>
      </c>
      <c r="D83" s="167" t="s">
        <v>97</v>
      </c>
      <c r="E83" s="166">
        <v>610</v>
      </c>
      <c r="F83" s="168"/>
      <c r="G83" s="168" t="e">
        <f>#REF!</f>
        <v>#REF!</v>
      </c>
      <c r="H83" s="168" t="e">
        <f>#REF!</f>
        <v>#REF!</v>
      </c>
    </row>
    <row r="84" spans="1:8" ht="63">
      <c r="A84" s="165" t="s">
        <v>25</v>
      </c>
      <c r="B84" s="166" t="s">
        <v>132</v>
      </c>
      <c r="C84" s="167"/>
      <c r="D84" s="167"/>
      <c r="E84" s="166"/>
      <c r="F84" s="168"/>
      <c r="G84" s="168" t="e">
        <f>G85</f>
        <v>#REF!</v>
      </c>
      <c r="H84" s="168" t="e">
        <f>H85</f>
        <v>#REF!</v>
      </c>
    </row>
    <row r="85" spans="1:8" ht="15.75">
      <c r="A85" s="165" t="s">
        <v>8</v>
      </c>
      <c r="B85" s="166" t="s">
        <v>133</v>
      </c>
      <c r="C85" s="167"/>
      <c r="D85" s="167"/>
      <c r="E85" s="166"/>
      <c r="F85" s="168"/>
      <c r="G85" s="168" t="e">
        <f>G86</f>
        <v>#REF!</v>
      </c>
      <c r="H85" s="168" t="e">
        <f>H86</f>
        <v>#REF!</v>
      </c>
    </row>
    <row r="86" spans="1:8" ht="15.75">
      <c r="A86" s="165" t="s">
        <v>301</v>
      </c>
      <c r="B86" s="166" t="s">
        <v>133</v>
      </c>
      <c r="C86" s="167" t="s">
        <v>307</v>
      </c>
      <c r="D86" s="167" t="s">
        <v>97</v>
      </c>
      <c r="E86" s="166">
        <v>610</v>
      </c>
      <c r="F86" s="168"/>
      <c r="G86" s="168" t="e">
        <f>#REF!</f>
        <v>#REF!</v>
      </c>
      <c r="H86" s="168" t="e">
        <f>#REF!</f>
        <v>#REF!</v>
      </c>
    </row>
    <row r="87" spans="1:8" ht="63">
      <c r="A87" s="156" t="s">
        <v>439</v>
      </c>
      <c r="B87" s="143" t="s">
        <v>440</v>
      </c>
      <c r="C87" s="144"/>
      <c r="D87" s="144"/>
      <c r="E87" s="143"/>
      <c r="F87" s="147" t="e">
        <f>F95+F37+F40</f>
        <v>#REF!</v>
      </c>
      <c r="G87" s="147" t="e">
        <f>G94+G88+G91</f>
        <v>#REF!</v>
      </c>
      <c r="H87" s="147" t="e">
        <f>H94+H88+H91</f>
        <v>#REF!</v>
      </c>
    </row>
    <row r="88" spans="1:8" ht="63">
      <c r="A88" s="12" t="s">
        <v>40</v>
      </c>
      <c r="B88" s="166" t="s">
        <v>443</v>
      </c>
      <c r="C88" s="167"/>
      <c r="D88" s="167"/>
      <c r="E88" s="180"/>
      <c r="F88" s="168"/>
      <c r="G88" s="168" t="e">
        <f>G89</f>
        <v>#REF!</v>
      </c>
      <c r="H88" s="168" t="e">
        <f>H89</f>
        <v>#REF!</v>
      </c>
    </row>
    <row r="89" spans="1:8" ht="15.75">
      <c r="A89" s="78" t="s">
        <v>13</v>
      </c>
      <c r="B89" s="166" t="s">
        <v>444</v>
      </c>
      <c r="C89" s="167"/>
      <c r="D89" s="167"/>
      <c r="E89" s="180"/>
      <c r="F89" s="168"/>
      <c r="G89" s="168" t="e">
        <f>G90</f>
        <v>#REF!</v>
      </c>
      <c r="H89" s="168" t="e">
        <f>H90</f>
        <v>#REF!</v>
      </c>
    </row>
    <row r="90" spans="1:8" ht="47.25">
      <c r="A90" s="78" t="s">
        <v>299</v>
      </c>
      <c r="B90" s="166" t="s">
        <v>444</v>
      </c>
      <c r="C90" s="167" t="s">
        <v>307</v>
      </c>
      <c r="D90" s="167" t="s">
        <v>98</v>
      </c>
      <c r="E90" s="181" t="s">
        <v>445</v>
      </c>
      <c r="F90" s="168"/>
      <c r="G90" s="168" t="e">
        <f>#REF!</f>
        <v>#REF!</v>
      </c>
      <c r="H90" s="168" t="e">
        <f>#REF!</f>
        <v>#REF!</v>
      </c>
    </row>
    <row r="91" spans="1:8" ht="63">
      <c r="A91" s="78" t="s">
        <v>41</v>
      </c>
      <c r="B91" s="166" t="s">
        <v>446</v>
      </c>
      <c r="C91" s="167"/>
      <c r="D91" s="167"/>
      <c r="E91" s="180"/>
      <c r="F91" s="168"/>
      <c r="G91" s="168" t="e">
        <f>G92</f>
        <v>#REF!</v>
      </c>
      <c r="H91" s="168" t="e">
        <f>H92</f>
        <v>#REF!</v>
      </c>
    </row>
    <row r="92" spans="1:8" ht="15.75">
      <c r="A92" s="78" t="s">
        <v>13</v>
      </c>
      <c r="B92" s="166" t="s">
        <v>447</v>
      </c>
      <c r="C92" s="167"/>
      <c r="D92" s="167"/>
      <c r="E92" s="180"/>
      <c r="F92" s="168"/>
      <c r="G92" s="168" t="e">
        <f>G93</f>
        <v>#REF!</v>
      </c>
      <c r="H92" s="168" t="e">
        <f>H93</f>
        <v>#REF!</v>
      </c>
    </row>
    <row r="93" spans="1:8" ht="47.25">
      <c r="A93" s="78" t="s">
        <v>299</v>
      </c>
      <c r="B93" s="166" t="s">
        <v>447</v>
      </c>
      <c r="C93" s="167" t="s">
        <v>307</v>
      </c>
      <c r="D93" s="167" t="s">
        <v>99</v>
      </c>
      <c r="E93" s="180">
        <v>240</v>
      </c>
      <c r="F93" s="168"/>
      <c r="G93" s="168" t="e">
        <f>#REF!</f>
        <v>#REF!</v>
      </c>
      <c r="H93" s="168" t="e">
        <f>#REF!</f>
        <v>#REF!</v>
      </c>
    </row>
    <row r="94" spans="1:8" ht="63">
      <c r="A94" s="165" t="s">
        <v>401</v>
      </c>
      <c r="B94" s="166" t="s">
        <v>441</v>
      </c>
      <c r="C94" s="167"/>
      <c r="D94" s="167"/>
      <c r="E94" s="166"/>
      <c r="F94" s="168"/>
      <c r="G94" s="168" t="e">
        <f>G95</f>
        <v>#REF!</v>
      </c>
      <c r="H94" s="168" t="e">
        <f>H95</f>
        <v>#REF!</v>
      </c>
    </row>
    <row r="95" spans="1:8" ht="47.25">
      <c r="A95" s="157" t="s">
        <v>275</v>
      </c>
      <c r="B95" s="166" t="s">
        <v>442</v>
      </c>
      <c r="C95" s="145"/>
      <c r="D95" s="145"/>
      <c r="E95" s="142"/>
      <c r="F95" s="146">
        <f>F96</f>
        <v>500</v>
      </c>
      <c r="G95" s="146" t="e">
        <f>G96</f>
        <v>#REF!</v>
      </c>
      <c r="H95" s="146" t="e">
        <f>H96</f>
        <v>#REF!</v>
      </c>
    </row>
    <row r="96" spans="1:8" ht="47.25">
      <c r="A96" s="157" t="s">
        <v>299</v>
      </c>
      <c r="B96" s="166" t="s">
        <v>442</v>
      </c>
      <c r="C96" s="145" t="s">
        <v>307</v>
      </c>
      <c r="D96" s="145" t="s">
        <v>98</v>
      </c>
      <c r="E96" s="142">
        <v>240</v>
      </c>
      <c r="F96" s="146">
        <f>'приложение 5'!Q597</f>
        <v>500</v>
      </c>
      <c r="G96" s="146" t="e">
        <f>#REF!</f>
        <v>#REF!</v>
      </c>
      <c r="H96" s="146" t="e">
        <f>#REF!</f>
        <v>#REF!</v>
      </c>
    </row>
    <row r="97" spans="1:8" s="152" customFormat="1" ht="78.75">
      <c r="A97" s="156" t="s">
        <v>293</v>
      </c>
      <c r="B97" s="143" t="s">
        <v>134</v>
      </c>
      <c r="C97" s="144"/>
      <c r="D97" s="144"/>
      <c r="E97" s="143"/>
      <c r="F97" s="147"/>
      <c r="G97" s="147" t="e">
        <f>G98+G102+G111</f>
        <v>#REF!</v>
      </c>
      <c r="H97" s="147" t="e">
        <f>H98+H102+H111</f>
        <v>#REF!</v>
      </c>
    </row>
    <row r="98" spans="1:8" ht="63">
      <c r="A98" s="165" t="s">
        <v>84</v>
      </c>
      <c r="B98" s="166" t="s">
        <v>135</v>
      </c>
      <c r="C98" s="167"/>
      <c r="D98" s="167"/>
      <c r="E98" s="166"/>
      <c r="F98" s="168"/>
      <c r="G98" s="168" t="e">
        <f aca="true" t="shared" si="2" ref="G98:H100">G99</f>
        <v>#REF!</v>
      </c>
      <c r="H98" s="168" t="e">
        <f t="shared" si="2"/>
        <v>#REF!</v>
      </c>
    </row>
    <row r="99" spans="1:8" ht="78.75">
      <c r="A99" s="165" t="s">
        <v>367</v>
      </c>
      <c r="B99" s="166" t="s">
        <v>136</v>
      </c>
      <c r="C99" s="167"/>
      <c r="D99" s="167"/>
      <c r="E99" s="166"/>
      <c r="F99" s="168"/>
      <c r="G99" s="168" t="e">
        <f t="shared" si="2"/>
        <v>#REF!</v>
      </c>
      <c r="H99" s="168" t="e">
        <f t="shared" si="2"/>
        <v>#REF!</v>
      </c>
    </row>
    <row r="100" spans="1:8" ht="31.5">
      <c r="A100" s="165" t="s">
        <v>60</v>
      </c>
      <c r="B100" s="166" t="s">
        <v>137</v>
      </c>
      <c r="C100" s="167"/>
      <c r="D100" s="167"/>
      <c r="E100" s="166"/>
      <c r="F100" s="168"/>
      <c r="G100" s="168" t="e">
        <f t="shared" si="2"/>
        <v>#REF!</v>
      </c>
      <c r="H100" s="168" t="e">
        <f t="shared" si="2"/>
        <v>#REF!</v>
      </c>
    </row>
    <row r="101" spans="1:8" ht="47.25">
      <c r="A101" s="165" t="s">
        <v>299</v>
      </c>
      <c r="B101" s="166" t="s">
        <v>137</v>
      </c>
      <c r="C101" s="167" t="s">
        <v>101</v>
      </c>
      <c r="D101" s="167" t="s">
        <v>100</v>
      </c>
      <c r="E101" s="166">
        <v>240</v>
      </c>
      <c r="F101" s="168"/>
      <c r="G101" s="168" t="e">
        <f>#REF!</f>
        <v>#REF!</v>
      </c>
      <c r="H101" s="168" t="e">
        <f>#REF!</f>
        <v>#REF!</v>
      </c>
    </row>
    <row r="102" spans="1:8" ht="78.75">
      <c r="A102" s="165" t="s">
        <v>294</v>
      </c>
      <c r="B102" s="166" t="s">
        <v>138</v>
      </c>
      <c r="C102" s="167"/>
      <c r="D102" s="167"/>
      <c r="E102" s="166"/>
      <c r="F102" s="168"/>
      <c r="G102" s="168" t="e">
        <f>G103+G108</f>
        <v>#REF!</v>
      </c>
      <c r="H102" s="168" t="e">
        <f>H103+H108</f>
        <v>#REF!</v>
      </c>
    </row>
    <row r="103" spans="1:8" ht="47.25">
      <c r="A103" s="165" t="s">
        <v>369</v>
      </c>
      <c r="B103" s="166" t="s">
        <v>139</v>
      </c>
      <c r="C103" s="167"/>
      <c r="D103" s="167"/>
      <c r="E103" s="166"/>
      <c r="F103" s="168"/>
      <c r="G103" s="168" t="e">
        <f>G104+G106</f>
        <v>#REF!</v>
      </c>
      <c r="H103" s="168" t="e">
        <f>H104+H106</f>
        <v>#REF!</v>
      </c>
    </row>
    <row r="104" spans="1:8" ht="141.75">
      <c r="A104" s="165" t="s">
        <v>180</v>
      </c>
      <c r="B104" s="166" t="s">
        <v>140</v>
      </c>
      <c r="C104" s="167"/>
      <c r="D104" s="167"/>
      <c r="E104" s="166"/>
      <c r="F104" s="168"/>
      <c r="G104" s="168" t="e">
        <f>G105</f>
        <v>#REF!</v>
      </c>
      <c r="H104" s="168" t="e">
        <f>H105</f>
        <v>#REF!</v>
      </c>
    </row>
    <row r="105" spans="1:8" ht="15.75">
      <c r="A105" s="165" t="s">
        <v>305</v>
      </c>
      <c r="B105" s="166" t="s">
        <v>140</v>
      </c>
      <c r="C105" s="167" t="s">
        <v>101</v>
      </c>
      <c r="D105" s="167" t="s">
        <v>102</v>
      </c>
      <c r="E105" s="166">
        <v>510</v>
      </c>
      <c r="F105" s="168"/>
      <c r="G105" s="168" t="e">
        <f>#REF!</f>
        <v>#REF!</v>
      </c>
      <c r="H105" s="168" t="e">
        <f>#REF!</f>
        <v>#REF!</v>
      </c>
    </row>
    <row r="106" spans="1:8" ht="31.5">
      <c r="A106" s="165" t="s">
        <v>372</v>
      </c>
      <c r="B106" s="166" t="s">
        <v>380</v>
      </c>
      <c r="C106" s="167"/>
      <c r="D106" s="167"/>
      <c r="E106" s="166"/>
      <c r="F106" s="168"/>
      <c r="G106" s="168" t="e">
        <f>G107</f>
        <v>#REF!</v>
      </c>
      <c r="H106" s="168" t="e">
        <f>H107</f>
        <v>#REF!</v>
      </c>
    </row>
    <row r="107" spans="1:8" ht="15.75">
      <c r="A107" s="165" t="s">
        <v>305</v>
      </c>
      <c r="B107" s="166" t="s">
        <v>380</v>
      </c>
      <c r="C107" s="167" t="s">
        <v>101</v>
      </c>
      <c r="D107" s="167" t="s">
        <v>102</v>
      </c>
      <c r="E107" s="166">
        <v>510</v>
      </c>
      <c r="F107" s="168"/>
      <c r="G107" s="168" t="e">
        <f>#REF!</f>
        <v>#REF!</v>
      </c>
      <c r="H107" s="168" t="e">
        <f>#REF!</f>
        <v>#REF!</v>
      </c>
    </row>
    <row r="108" spans="1:8" ht="47.25">
      <c r="A108" s="165" t="s">
        <v>371</v>
      </c>
      <c r="B108" s="166" t="s">
        <v>141</v>
      </c>
      <c r="C108" s="167"/>
      <c r="D108" s="167"/>
      <c r="E108" s="166"/>
      <c r="F108" s="168"/>
      <c r="G108" s="168" t="e">
        <f>G109</f>
        <v>#REF!</v>
      </c>
      <c r="H108" s="168" t="e">
        <f>H109</f>
        <v>#REF!</v>
      </c>
    </row>
    <row r="109" spans="1:8" ht="35.25" customHeight="1">
      <c r="A109" s="165" t="s">
        <v>370</v>
      </c>
      <c r="B109" s="166" t="s">
        <v>381</v>
      </c>
      <c r="C109" s="167"/>
      <c r="D109" s="167"/>
      <c r="E109" s="166"/>
      <c r="F109" s="168"/>
      <c r="G109" s="168" t="e">
        <f>G110</f>
        <v>#REF!</v>
      </c>
      <c r="H109" s="168" t="e">
        <f>H110</f>
        <v>#REF!</v>
      </c>
    </row>
    <row r="110" spans="1:8" ht="15.75">
      <c r="A110" s="165" t="s">
        <v>305</v>
      </c>
      <c r="B110" s="166" t="s">
        <v>381</v>
      </c>
      <c r="C110" s="167" t="s">
        <v>101</v>
      </c>
      <c r="D110" s="167" t="s">
        <v>103</v>
      </c>
      <c r="E110" s="166">
        <v>510</v>
      </c>
      <c r="F110" s="168"/>
      <c r="G110" s="168" t="e">
        <f>#REF!</f>
        <v>#REF!</v>
      </c>
      <c r="H110" s="168" t="e">
        <f>#REF!</f>
        <v>#REF!</v>
      </c>
    </row>
    <row r="111" spans="1:8" ht="78.75">
      <c r="A111" s="165" t="s">
        <v>295</v>
      </c>
      <c r="B111" s="166" t="s">
        <v>142</v>
      </c>
      <c r="C111" s="167"/>
      <c r="D111" s="167"/>
      <c r="E111" s="166"/>
      <c r="F111" s="168"/>
      <c r="G111" s="168" t="e">
        <f>G112+G117</f>
        <v>#REF!</v>
      </c>
      <c r="H111" s="168" t="e">
        <f>H112+H117</f>
        <v>#REF!</v>
      </c>
    </row>
    <row r="112" spans="1:8" ht="126">
      <c r="A112" s="165" t="s">
        <v>292</v>
      </c>
      <c r="B112" s="166" t="s">
        <v>143</v>
      </c>
      <c r="C112" s="167"/>
      <c r="D112" s="167"/>
      <c r="E112" s="166"/>
      <c r="F112" s="168"/>
      <c r="G112" s="168" t="e">
        <f>G113</f>
        <v>#REF!</v>
      </c>
      <c r="H112" s="168" t="e">
        <f>H113</f>
        <v>#REF!</v>
      </c>
    </row>
    <row r="113" spans="1:8" ht="31.5">
      <c r="A113" s="165" t="s">
        <v>60</v>
      </c>
      <c r="B113" s="166" t="s">
        <v>144</v>
      </c>
      <c r="C113" s="167"/>
      <c r="D113" s="167"/>
      <c r="E113" s="166"/>
      <c r="F113" s="168"/>
      <c r="G113" s="168" t="e">
        <f>SUM(G114:G116)</f>
        <v>#REF!</v>
      </c>
      <c r="H113" s="168" t="e">
        <f>SUM(H114:H116)</f>
        <v>#REF!</v>
      </c>
    </row>
    <row r="114" spans="1:8" ht="37.5" customHeight="1">
      <c r="A114" s="165" t="s">
        <v>204</v>
      </c>
      <c r="B114" s="166" t="s">
        <v>144</v>
      </c>
      <c r="C114" s="167" t="s">
        <v>101</v>
      </c>
      <c r="D114" s="167" t="s">
        <v>100</v>
      </c>
      <c r="E114" s="166">
        <v>120</v>
      </c>
      <c r="F114" s="168"/>
      <c r="G114" s="168" t="e">
        <f>#REF!</f>
        <v>#REF!</v>
      </c>
      <c r="H114" s="168" t="e">
        <f>#REF!</f>
        <v>#REF!</v>
      </c>
    </row>
    <row r="115" spans="1:8" ht="47.25">
      <c r="A115" s="165" t="s">
        <v>299</v>
      </c>
      <c r="B115" s="166" t="s">
        <v>144</v>
      </c>
      <c r="C115" s="167" t="s">
        <v>101</v>
      </c>
      <c r="D115" s="167" t="s">
        <v>100</v>
      </c>
      <c r="E115" s="166">
        <v>240</v>
      </c>
      <c r="F115" s="168"/>
      <c r="G115" s="168" t="e">
        <f>#REF!</f>
        <v>#REF!</v>
      </c>
      <c r="H115" s="168" t="e">
        <f>#REF!</f>
        <v>#REF!</v>
      </c>
    </row>
    <row r="116" spans="1:8" ht="15.75">
      <c r="A116" s="165" t="s">
        <v>300</v>
      </c>
      <c r="B116" s="166" t="s">
        <v>144</v>
      </c>
      <c r="C116" s="167" t="s">
        <v>101</v>
      </c>
      <c r="D116" s="167" t="s">
        <v>100</v>
      </c>
      <c r="E116" s="166">
        <v>850</v>
      </c>
      <c r="F116" s="168"/>
      <c r="G116" s="168" t="e">
        <f>#REF!</f>
        <v>#REF!</v>
      </c>
      <c r="H116" s="168" t="e">
        <f>#REF!</f>
        <v>#REF!</v>
      </c>
    </row>
    <row r="117" spans="1:8" ht="63">
      <c r="A117" s="165" t="s">
        <v>296</v>
      </c>
      <c r="B117" s="166" t="s">
        <v>145</v>
      </c>
      <c r="C117" s="167"/>
      <c r="D117" s="167"/>
      <c r="E117" s="166"/>
      <c r="F117" s="168"/>
      <c r="G117" s="168" t="e">
        <f>G118</f>
        <v>#REF!</v>
      </c>
      <c r="H117" s="168" t="e">
        <f>H118</f>
        <v>#REF!</v>
      </c>
    </row>
    <row r="118" spans="1:8" ht="47.25">
      <c r="A118" s="165" t="s">
        <v>62</v>
      </c>
      <c r="B118" s="166" t="s">
        <v>146</v>
      </c>
      <c r="C118" s="167"/>
      <c r="D118" s="167"/>
      <c r="E118" s="166"/>
      <c r="F118" s="168"/>
      <c r="G118" s="168" t="e">
        <f>SUM(G119:G121)</f>
        <v>#REF!</v>
      </c>
      <c r="H118" s="168" t="e">
        <f>SUM(H119:H121)</f>
        <v>#REF!</v>
      </c>
    </row>
    <row r="119" spans="1:8" ht="31.5">
      <c r="A119" s="165" t="s">
        <v>302</v>
      </c>
      <c r="B119" s="166" t="s">
        <v>146</v>
      </c>
      <c r="C119" s="167" t="s">
        <v>101</v>
      </c>
      <c r="D119" s="167" t="s">
        <v>87</v>
      </c>
      <c r="E119" s="166">
        <v>110</v>
      </c>
      <c r="F119" s="168"/>
      <c r="G119" s="168" t="e">
        <f>#REF!</f>
        <v>#REF!</v>
      </c>
      <c r="H119" s="168" t="e">
        <f>#REF!</f>
        <v>#REF!</v>
      </c>
    </row>
    <row r="120" spans="1:8" ht="47.25">
      <c r="A120" s="165" t="s">
        <v>299</v>
      </c>
      <c r="B120" s="166" t="s">
        <v>146</v>
      </c>
      <c r="C120" s="167" t="s">
        <v>101</v>
      </c>
      <c r="D120" s="167" t="s">
        <v>87</v>
      </c>
      <c r="E120" s="166">
        <v>240</v>
      </c>
      <c r="F120" s="168"/>
      <c r="G120" s="168" t="e">
        <f>#REF!</f>
        <v>#REF!</v>
      </c>
      <c r="H120" s="168" t="e">
        <f>#REF!</f>
        <v>#REF!</v>
      </c>
    </row>
    <row r="121" spans="1:8" ht="15.75">
      <c r="A121" s="165" t="s">
        <v>300</v>
      </c>
      <c r="B121" s="166" t="s">
        <v>146</v>
      </c>
      <c r="C121" s="167" t="s">
        <v>101</v>
      </c>
      <c r="D121" s="167" t="s">
        <v>87</v>
      </c>
      <c r="E121" s="166">
        <v>850</v>
      </c>
      <c r="F121" s="168"/>
      <c r="G121" s="168" t="e">
        <f>#REF!</f>
        <v>#REF!</v>
      </c>
      <c r="H121" s="168" t="e">
        <f>#REF!</f>
        <v>#REF!</v>
      </c>
    </row>
    <row r="122" spans="1:8" s="152" customFormat="1" ht="63">
      <c r="A122" s="80" t="s">
        <v>277</v>
      </c>
      <c r="B122" s="143" t="s">
        <v>170</v>
      </c>
      <c r="C122" s="144"/>
      <c r="D122" s="144"/>
      <c r="E122" s="143"/>
      <c r="F122" s="147" t="e">
        <f>F123+F132+#REF!+F137</f>
        <v>#REF!</v>
      </c>
      <c r="G122" s="147" t="e">
        <f>G123+G132+G137</f>
        <v>#REF!</v>
      </c>
      <c r="H122" s="147" t="e">
        <f>H123+H132+H137</f>
        <v>#REF!</v>
      </c>
    </row>
    <row r="123" spans="1:8" ht="63">
      <c r="A123" s="17" t="s">
        <v>34</v>
      </c>
      <c r="B123" s="166" t="s">
        <v>171</v>
      </c>
      <c r="C123" s="167"/>
      <c r="D123" s="167"/>
      <c r="E123" s="166"/>
      <c r="F123" s="168" t="e">
        <f>F124+F128+F130</f>
        <v>#REF!</v>
      </c>
      <c r="G123" s="168" t="e">
        <f>G124+G128+G130+G126</f>
        <v>#REF!</v>
      </c>
      <c r="H123" s="168" t="e">
        <f>H124+H128+H130+H126</f>
        <v>#REF!</v>
      </c>
    </row>
    <row r="124" spans="1:8" ht="15.75">
      <c r="A124" s="17" t="s">
        <v>36</v>
      </c>
      <c r="B124" s="166" t="s">
        <v>172</v>
      </c>
      <c r="C124" s="167"/>
      <c r="D124" s="167"/>
      <c r="E124" s="166"/>
      <c r="F124" s="168" t="e">
        <f>F125</f>
        <v>#REF!</v>
      </c>
      <c r="G124" s="168" t="e">
        <f>G125</f>
        <v>#REF!</v>
      </c>
      <c r="H124" s="168" t="e">
        <f>H125</f>
        <v>#REF!</v>
      </c>
    </row>
    <row r="125" spans="1:8" ht="15.75">
      <c r="A125" s="165" t="s">
        <v>301</v>
      </c>
      <c r="B125" s="166" t="s">
        <v>172</v>
      </c>
      <c r="C125" s="167" t="s">
        <v>307</v>
      </c>
      <c r="D125" s="167" t="s">
        <v>173</v>
      </c>
      <c r="E125" s="166">
        <v>610</v>
      </c>
      <c r="F125" s="168" t="e">
        <f>'приложение 5'!#REF!</f>
        <v>#REF!</v>
      </c>
      <c r="G125" s="168" t="e">
        <f>#REF!</f>
        <v>#REF!</v>
      </c>
      <c r="H125" s="168" t="e">
        <f>#REF!</f>
        <v>#REF!</v>
      </c>
    </row>
    <row r="126" spans="1:8" ht="78.75">
      <c r="A126" s="134" t="s">
        <v>374</v>
      </c>
      <c r="B126" s="166" t="s">
        <v>377</v>
      </c>
      <c r="C126" s="145"/>
      <c r="D126" s="145"/>
      <c r="E126" s="142"/>
      <c r="F126" s="168"/>
      <c r="G126" s="168" t="e">
        <f>G127</f>
        <v>#REF!</v>
      </c>
      <c r="H126" s="168" t="e">
        <f>H127</f>
        <v>#REF!</v>
      </c>
    </row>
    <row r="127" spans="1:8" ht="15.75">
      <c r="A127" s="134" t="s">
        <v>301</v>
      </c>
      <c r="B127" s="166" t="s">
        <v>377</v>
      </c>
      <c r="C127" s="167" t="s">
        <v>307</v>
      </c>
      <c r="D127" s="167" t="s">
        <v>173</v>
      </c>
      <c r="E127" s="142">
        <v>610</v>
      </c>
      <c r="F127" s="168"/>
      <c r="G127" s="168" t="e">
        <f>#REF!</f>
        <v>#REF!</v>
      </c>
      <c r="H127" s="168" t="e">
        <f>#REF!</f>
        <v>#REF!</v>
      </c>
    </row>
    <row r="128" spans="1:8" ht="47.25">
      <c r="A128" s="2" t="s">
        <v>340</v>
      </c>
      <c r="B128" s="166" t="s">
        <v>174</v>
      </c>
      <c r="C128" s="167"/>
      <c r="D128" s="167"/>
      <c r="E128" s="166"/>
      <c r="F128" s="168" t="e">
        <f>F129</f>
        <v>#REF!</v>
      </c>
      <c r="G128" s="168" t="e">
        <f>G129</f>
        <v>#REF!</v>
      </c>
      <c r="H128" s="168" t="e">
        <f>H129</f>
        <v>#REF!</v>
      </c>
    </row>
    <row r="129" spans="1:8" ht="15.75">
      <c r="A129" s="165" t="s">
        <v>301</v>
      </c>
      <c r="B129" s="166" t="s">
        <v>174</v>
      </c>
      <c r="C129" s="167" t="s">
        <v>307</v>
      </c>
      <c r="D129" s="167" t="s">
        <v>173</v>
      </c>
      <c r="E129" s="166">
        <v>610</v>
      </c>
      <c r="F129" s="168" t="e">
        <f>'приложение 5'!#REF!</f>
        <v>#REF!</v>
      </c>
      <c r="G129" s="168" t="e">
        <f>#REF!</f>
        <v>#REF!</v>
      </c>
      <c r="H129" s="168" t="e">
        <f>#REF!</f>
        <v>#REF!</v>
      </c>
    </row>
    <row r="130" spans="1:8" ht="47.25">
      <c r="A130" s="2" t="s">
        <v>283</v>
      </c>
      <c r="B130" s="166" t="s">
        <v>175</v>
      </c>
      <c r="C130" s="167"/>
      <c r="D130" s="167"/>
      <c r="E130" s="166"/>
      <c r="F130" s="168" t="e">
        <f>F131</f>
        <v>#REF!</v>
      </c>
      <c r="G130" s="168" t="e">
        <f>G131</f>
        <v>#REF!</v>
      </c>
      <c r="H130" s="168" t="e">
        <f>H131</f>
        <v>#REF!</v>
      </c>
    </row>
    <row r="131" spans="1:8" ht="15.75">
      <c r="A131" s="165" t="s">
        <v>301</v>
      </c>
      <c r="B131" s="166" t="s">
        <v>175</v>
      </c>
      <c r="C131" s="167" t="s">
        <v>307</v>
      </c>
      <c r="D131" s="167" t="s">
        <v>173</v>
      </c>
      <c r="E131" s="166">
        <v>610</v>
      </c>
      <c r="F131" s="168" t="e">
        <f>'приложение 5'!#REF!</f>
        <v>#REF!</v>
      </c>
      <c r="G131" s="168" t="e">
        <f>#REF!</f>
        <v>#REF!</v>
      </c>
      <c r="H131" s="168" t="e">
        <f>#REF!</f>
        <v>#REF!</v>
      </c>
    </row>
    <row r="132" spans="1:8" ht="63">
      <c r="A132" s="2" t="s">
        <v>284</v>
      </c>
      <c r="B132" s="166" t="s">
        <v>176</v>
      </c>
      <c r="C132" s="167"/>
      <c r="D132" s="167"/>
      <c r="E132" s="166"/>
      <c r="F132" s="168" t="e">
        <f aca="true" t="shared" si="3" ref="F132:H133">F133</f>
        <v>#REF!</v>
      </c>
      <c r="G132" s="168" t="e">
        <f>G133+G135</f>
        <v>#REF!</v>
      </c>
      <c r="H132" s="168" t="e">
        <f>H133+H135</f>
        <v>#REF!</v>
      </c>
    </row>
    <row r="133" spans="1:8" ht="15.75">
      <c r="A133" s="2" t="s">
        <v>8</v>
      </c>
      <c r="B133" s="166" t="s">
        <v>177</v>
      </c>
      <c r="C133" s="167"/>
      <c r="D133" s="167"/>
      <c r="E133" s="166"/>
      <c r="F133" s="168" t="e">
        <f t="shared" si="3"/>
        <v>#REF!</v>
      </c>
      <c r="G133" s="168" t="e">
        <f t="shared" si="3"/>
        <v>#REF!</v>
      </c>
      <c r="H133" s="168" t="e">
        <f t="shared" si="3"/>
        <v>#REF!</v>
      </c>
    </row>
    <row r="134" spans="1:8" ht="15.75">
      <c r="A134" s="165" t="s">
        <v>301</v>
      </c>
      <c r="B134" s="166" t="s">
        <v>177</v>
      </c>
      <c r="C134" s="167" t="s">
        <v>307</v>
      </c>
      <c r="D134" s="167" t="s">
        <v>173</v>
      </c>
      <c r="E134" s="166">
        <v>610</v>
      </c>
      <c r="F134" s="168" t="e">
        <f>'приложение 5'!#REF!</f>
        <v>#REF!</v>
      </c>
      <c r="G134" s="168" t="e">
        <f>#REF!</f>
        <v>#REF!</v>
      </c>
      <c r="H134" s="168" t="e">
        <f>#REF!</f>
        <v>#REF!</v>
      </c>
    </row>
    <row r="135" spans="1:8" ht="78.75">
      <c r="A135" s="2" t="s">
        <v>374</v>
      </c>
      <c r="B135" s="166" t="s">
        <v>378</v>
      </c>
      <c r="C135" s="167"/>
      <c r="D135" s="167"/>
      <c r="E135" s="166"/>
      <c r="F135" s="168"/>
      <c r="G135" s="168" t="e">
        <f>G136</f>
        <v>#REF!</v>
      </c>
      <c r="H135" s="168" t="e">
        <f>H136</f>
        <v>#REF!</v>
      </c>
    </row>
    <row r="136" spans="1:8" ht="15.75">
      <c r="A136" s="2" t="s">
        <v>301</v>
      </c>
      <c r="B136" s="166" t="s">
        <v>378</v>
      </c>
      <c r="C136" s="167" t="s">
        <v>307</v>
      </c>
      <c r="D136" s="167" t="s">
        <v>173</v>
      </c>
      <c r="E136" s="166">
        <v>610</v>
      </c>
      <c r="F136" s="168"/>
      <c r="G136" s="168" t="e">
        <f>#REF!</f>
        <v>#REF!</v>
      </c>
      <c r="H136" s="168" t="e">
        <f>#REF!</f>
        <v>#REF!</v>
      </c>
    </row>
    <row r="137" spans="1:8" ht="78.75">
      <c r="A137" s="19" t="s">
        <v>278</v>
      </c>
      <c r="B137" s="166" t="s">
        <v>178</v>
      </c>
      <c r="C137" s="167"/>
      <c r="D137" s="167"/>
      <c r="E137" s="166"/>
      <c r="F137" s="168" t="e">
        <f aca="true" t="shared" si="4" ref="F137:H138">F138</f>
        <v>#REF!</v>
      </c>
      <c r="G137" s="168" t="e">
        <f>G138+G140</f>
        <v>#REF!</v>
      </c>
      <c r="H137" s="168" t="e">
        <f>H138+H140</f>
        <v>#REF!</v>
      </c>
    </row>
    <row r="138" spans="1:8" ht="31.5">
      <c r="A138" s="19" t="s">
        <v>57</v>
      </c>
      <c r="B138" s="166" t="s">
        <v>179</v>
      </c>
      <c r="C138" s="167"/>
      <c r="D138" s="167"/>
      <c r="E138" s="166"/>
      <c r="F138" s="168" t="e">
        <f t="shared" si="4"/>
        <v>#REF!</v>
      </c>
      <c r="G138" s="168" t="e">
        <f t="shared" si="4"/>
        <v>#REF!</v>
      </c>
      <c r="H138" s="168" t="e">
        <f t="shared" si="4"/>
        <v>#REF!</v>
      </c>
    </row>
    <row r="139" spans="1:8" ht="15.75">
      <c r="A139" s="165" t="s">
        <v>301</v>
      </c>
      <c r="B139" s="166" t="s">
        <v>179</v>
      </c>
      <c r="C139" s="167" t="s">
        <v>307</v>
      </c>
      <c r="D139" s="167" t="s">
        <v>96</v>
      </c>
      <c r="E139" s="166">
        <v>610</v>
      </c>
      <c r="F139" s="168" t="e">
        <f>'приложение 5'!#REF!</f>
        <v>#REF!</v>
      </c>
      <c r="G139" s="168" t="e">
        <f>#REF!</f>
        <v>#REF!</v>
      </c>
      <c r="H139" s="168" t="e">
        <f>#REF!</f>
        <v>#REF!</v>
      </c>
    </row>
    <row r="140" spans="1:8" ht="78.75">
      <c r="A140" s="134" t="s">
        <v>374</v>
      </c>
      <c r="B140" s="166" t="s">
        <v>376</v>
      </c>
      <c r="C140" s="167"/>
      <c r="D140" s="167"/>
      <c r="E140" s="166"/>
      <c r="F140" s="168"/>
      <c r="G140" s="168" t="e">
        <f>G141</f>
        <v>#REF!</v>
      </c>
      <c r="H140" s="168" t="e">
        <f>H141</f>
        <v>#REF!</v>
      </c>
    </row>
    <row r="141" spans="1:8" ht="15.75">
      <c r="A141" s="134" t="s">
        <v>301</v>
      </c>
      <c r="B141" s="166" t="s">
        <v>376</v>
      </c>
      <c r="C141" s="167" t="s">
        <v>307</v>
      </c>
      <c r="D141" s="167" t="s">
        <v>96</v>
      </c>
      <c r="E141" s="166">
        <v>610</v>
      </c>
      <c r="F141" s="168"/>
      <c r="G141" s="168" t="e">
        <f>#REF!</f>
        <v>#REF!</v>
      </c>
      <c r="H141" s="168" t="e">
        <f>#REF!</f>
        <v>#REF!</v>
      </c>
    </row>
    <row r="142" spans="1:8" s="152" customFormat="1" ht="47.25">
      <c r="A142" s="156" t="s">
        <v>279</v>
      </c>
      <c r="B142" s="143" t="s">
        <v>147</v>
      </c>
      <c r="C142" s="144"/>
      <c r="D142" s="144"/>
      <c r="E142" s="143"/>
      <c r="F142" s="147" t="e">
        <f>F143+F146+F149+F152</f>
        <v>#REF!</v>
      </c>
      <c r="G142" s="147" t="e">
        <f>G143+G146+G149+G152</f>
        <v>#REF!</v>
      </c>
      <c r="H142" s="147" t="e">
        <f>H143+H146+H149+H152</f>
        <v>#REF!</v>
      </c>
    </row>
    <row r="143" spans="1:8" ht="78.75">
      <c r="A143" s="165" t="s">
        <v>280</v>
      </c>
      <c r="B143" s="166" t="s">
        <v>148</v>
      </c>
      <c r="C143" s="167"/>
      <c r="D143" s="167"/>
      <c r="E143" s="166"/>
      <c r="F143" s="168" t="e">
        <f>F144+#REF!</f>
        <v>#REF!</v>
      </c>
      <c r="G143" s="168" t="e">
        <f>G144</f>
        <v>#REF!</v>
      </c>
      <c r="H143" s="168" t="e">
        <f>H144</f>
        <v>#REF!</v>
      </c>
    </row>
    <row r="144" spans="1:8" ht="15.75">
      <c r="A144" s="165" t="s">
        <v>8</v>
      </c>
      <c r="B144" s="166" t="s">
        <v>149</v>
      </c>
      <c r="C144" s="167"/>
      <c r="D144" s="167"/>
      <c r="E144" s="166"/>
      <c r="F144" s="168" t="e">
        <f>F145</f>
        <v>#REF!</v>
      </c>
      <c r="G144" s="168" t="e">
        <f>G145</f>
        <v>#REF!</v>
      </c>
      <c r="H144" s="168" t="e">
        <f>H145</f>
        <v>#REF!</v>
      </c>
    </row>
    <row r="145" spans="1:8" ht="15.75">
      <c r="A145" s="165" t="s">
        <v>301</v>
      </c>
      <c r="B145" s="166" t="s">
        <v>149</v>
      </c>
      <c r="C145" s="167" t="s">
        <v>307</v>
      </c>
      <c r="D145" s="167" t="s">
        <v>150</v>
      </c>
      <c r="E145" s="166">
        <v>610</v>
      </c>
      <c r="F145" s="168" t="e">
        <f>'приложение 5'!#REF!</f>
        <v>#REF!</v>
      </c>
      <c r="G145" s="168" t="e">
        <f>#REF!</f>
        <v>#REF!</v>
      </c>
      <c r="H145" s="168" t="e">
        <f>#REF!</f>
        <v>#REF!</v>
      </c>
    </row>
    <row r="146" spans="1:8" ht="94.5">
      <c r="A146" s="165" t="s">
        <v>281</v>
      </c>
      <c r="B146" s="166" t="s">
        <v>151</v>
      </c>
      <c r="C146" s="167"/>
      <c r="D146" s="167"/>
      <c r="E146" s="166"/>
      <c r="F146" s="168" t="e">
        <f aca="true" t="shared" si="5" ref="F146:H147">F147</f>
        <v>#REF!</v>
      </c>
      <c r="G146" s="168" t="e">
        <f t="shared" si="5"/>
        <v>#REF!</v>
      </c>
      <c r="H146" s="168" t="e">
        <f t="shared" si="5"/>
        <v>#REF!</v>
      </c>
    </row>
    <row r="147" spans="1:8" ht="15.75">
      <c r="A147" s="165" t="s">
        <v>8</v>
      </c>
      <c r="B147" s="166" t="s">
        <v>152</v>
      </c>
      <c r="C147" s="167"/>
      <c r="D147" s="167"/>
      <c r="E147" s="166"/>
      <c r="F147" s="168" t="e">
        <f t="shared" si="5"/>
        <v>#REF!</v>
      </c>
      <c r="G147" s="168" t="e">
        <f t="shared" si="5"/>
        <v>#REF!</v>
      </c>
      <c r="H147" s="168" t="e">
        <f t="shared" si="5"/>
        <v>#REF!</v>
      </c>
    </row>
    <row r="148" spans="1:8" ht="15.75">
      <c r="A148" s="165" t="s">
        <v>301</v>
      </c>
      <c r="B148" s="166" t="s">
        <v>152</v>
      </c>
      <c r="C148" s="167" t="s">
        <v>307</v>
      </c>
      <c r="D148" s="167" t="s">
        <v>150</v>
      </c>
      <c r="E148" s="166">
        <v>610</v>
      </c>
      <c r="F148" s="168" t="e">
        <f>'приложение 5'!#REF!</f>
        <v>#REF!</v>
      </c>
      <c r="G148" s="168" t="e">
        <f>#REF!</f>
        <v>#REF!</v>
      </c>
      <c r="H148" s="168" t="e">
        <f>#REF!</f>
        <v>#REF!</v>
      </c>
    </row>
    <row r="149" spans="1:8" ht="63">
      <c r="A149" s="165" t="s">
        <v>282</v>
      </c>
      <c r="B149" s="166" t="s">
        <v>153</v>
      </c>
      <c r="C149" s="167"/>
      <c r="D149" s="167"/>
      <c r="E149" s="166"/>
      <c r="F149" s="168" t="e">
        <f aca="true" t="shared" si="6" ref="F149:H150">F150</f>
        <v>#REF!</v>
      </c>
      <c r="G149" s="168" t="e">
        <f t="shared" si="6"/>
        <v>#REF!</v>
      </c>
      <c r="H149" s="168" t="e">
        <f t="shared" si="6"/>
        <v>#REF!</v>
      </c>
    </row>
    <row r="150" spans="1:8" ht="15.75">
      <c r="A150" s="165" t="s">
        <v>8</v>
      </c>
      <c r="B150" s="166" t="s">
        <v>154</v>
      </c>
      <c r="C150" s="167"/>
      <c r="D150" s="167"/>
      <c r="E150" s="166"/>
      <c r="F150" s="168" t="e">
        <f t="shared" si="6"/>
        <v>#REF!</v>
      </c>
      <c r="G150" s="168" t="e">
        <f t="shared" si="6"/>
        <v>#REF!</v>
      </c>
      <c r="H150" s="168" t="e">
        <f t="shared" si="6"/>
        <v>#REF!</v>
      </c>
    </row>
    <row r="151" spans="1:8" ht="15.75">
      <c r="A151" s="165" t="s">
        <v>301</v>
      </c>
      <c r="B151" s="166" t="s">
        <v>154</v>
      </c>
      <c r="C151" s="167" t="s">
        <v>307</v>
      </c>
      <c r="D151" s="167" t="s">
        <v>150</v>
      </c>
      <c r="E151" s="166">
        <v>610</v>
      </c>
      <c r="F151" s="168" t="e">
        <f>'приложение 5'!#REF!</f>
        <v>#REF!</v>
      </c>
      <c r="G151" s="168" t="e">
        <f>#REF!</f>
        <v>#REF!</v>
      </c>
      <c r="H151" s="168" t="e">
        <f>#REF!</f>
        <v>#REF!</v>
      </c>
    </row>
    <row r="152" spans="1:8" ht="31.5">
      <c r="A152" s="165" t="s">
        <v>285</v>
      </c>
      <c r="B152" s="166" t="s">
        <v>155</v>
      </c>
      <c r="C152" s="167"/>
      <c r="D152" s="167"/>
      <c r="E152" s="166"/>
      <c r="F152" s="168" t="e">
        <f aca="true" t="shared" si="7" ref="F152:H153">F153</f>
        <v>#REF!</v>
      </c>
      <c r="G152" s="168" t="e">
        <f t="shared" si="7"/>
        <v>#REF!</v>
      </c>
      <c r="H152" s="168" t="e">
        <f t="shared" si="7"/>
        <v>#REF!</v>
      </c>
    </row>
    <row r="153" spans="1:8" ht="31.5">
      <c r="A153" s="165" t="s">
        <v>286</v>
      </c>
      <c r="B153" s="166" t="s">
        <v>156</v>
      </c>
      <c r="C153" s="167"/>
      <c r="D153" s="167"/>
      <c r="E153" s="166"/>
      <c r="F153" s="168" t="e">
        <f t="shared" si="7"/>
        <v>#REF!</v>
      </c>
      <c r="G153" s="168" t="e">
        <f t="shared" si="7"/>
        <v>#REF!</v>
      </c>
      <c r="H153" s="168" t="e">
        <f t="shared" si="7"/>
        <v>#REF!</v>
      </c>
    </row>
    <row r="154" spans="1:8" ht="47.25">
      <c r="A154" s="165" t="s">
        <v>304</v>
      </c>
      <c r="B154" s="166" t="s">
        <v>156</v>
      </c>
      <c r="C154" s="167" t="s">
        <v>307</v>
      </c>
      <c r="D154" s="167" t="s">
        <v>89</v>
      </c>
      <c r="E154" s="166">
        <v>320</v>
      </c>
      <c r="F154" s="168" t="e">
        <f>'приложение 5'!#REF!</f>
        <v>#REF!</v>
      </c>
      <c r="G154" s="168" t="e">
        <f>#REF!</f>
        <v>#REF!</v>
      </c>
      <c r="H154" s="168" t="e">
        <f>#REF!</f>
        <v>#REF!</v>
      </c>
    </row>
    <row r="155" spans="1:8" s="152" customFormat="1" ht="78.75">
      <c r="A155" s="156" t="s">
        <v>336</v>
      </c>
      <c r="B155" s="143" t="s">
        <v>337</v>
      </c>
      <c r="C155" s="144"/>
      <c r="D155" s="144"/>
      <c r="E155" s="143"/>
      <c r="F155" s="147" t="e">
        <f>F157</f>
        <v>#REF!</v>
      </c>
      <c r="G155" s="147" t="e">
        <f aca="true" t="shared" si="8" ref="G155:H157">G156</f>
        <v>#REF!</v>
      </c>
      <c r="H155" s="147" t="e">
        <f t="shared" si="8"/>
        <v>#REF!</v>
      </c>
    </row>
    <row r="156" spans="1:8" ht="78.75">
      <c r="A156" s="165" t="s">
        <v>402</v>
      </c>
      <c r="B156" s="166" t="s">
        <v>403</v>
      </c>
      <c r="C156" s="167"/>
      <c r="D156" s="167"/>
      <c r="E156" s="166"/>
      <c r="F156" s="168"/>
      <c r="G156" s="168" t="e">
        <f t="shared" si="8"/>
        <v>#REF!</v>
      </c>
      <c r="H156" s="168" t="e">
        <f t="shared" si="8"/>
        <v>#REF!</v>
      </c>
    </row>
    <row r="157" spans="1:8" ht="31.5">
      <c r="A157" s="165" t="s">
        <v>335</v>
      </c>
      <c r="B157" s="166" t="s">
        <v>157</v>
      </c>
      <c r="C157" s="167"/>
      <c r="D157" s="167"/>
      <c r="E157" s="166"/>
      <c r="F157" s="168" t="e">
        <f>F158</f>
        <v>#REF!</v>
      </c>
      <c r="G157" s="168" t="e">
        <f t="shared" si="8"/>
        <v>#REF!</v>
      </c>
      <c r="H157" s="168" t="e">
        <f t="shared" si="8"/>
        <v>#REF!</v>
      </c>
    </row>
    <row r="158" spans="1:8" ht="47.25">
      <c r="A158" s="165" t="s">
        <v>299</v>
      </c>
      <c r="B158" s="166" t="s">
        <v>157</v>
      </c>
      <c r="C158" s="167" t="s">
        <v>307</v>
      </c>
      <c r="D158" s="167" t="s">
        <v>158</v>
      </c>
      <c r="E158" s="166">
        <v>240</v>
      </c>
      <c r="F158" s="168" t="e">
        <f>'приложение 5'!#REF!</f>
        <v>#REF!</v>
      </c>
      <c r="G158" s="168" t="e">
        <f>#REF!</f>
        <v>#REF!</v>
      </c>
      <c r="H158" s="168" t="e">
        <f>#REF!</f>
        <v>#REF!</v>
      </c>
    </row>
    <row r="159" spans="1:8" s="152" customFormat="1" ht="94.5">
      <c r="A159" s="156" t="s">
        <v>85</v>
      </c>
      <c r="B159" s="143" t="s">
        <v>159</v>
      </c>
      <c r="C159" s="144"/>
      <c r="D159" s="144"/>
      <c r="E159" s="143"/>
      <c r="F159" s="147">
        <f>F160+F163+F166+F169</f>
        <v>0</v>
      </c>
      <c r="G159" s="147">
        <v>0</v>
      </c>
      <c r="H159" s="147" t="e">
        <f>H160+H163+H166+H169</f>
        <v>#REF!</v>
      </c>
    </row>
    <row r="160" spans="1:8" ht="31.5">
      <c r="A160" s="165" t="s">
        <v>274</v>
      </c>
      <c r="B160" s="166" t="s">
        <v>160</v>
      </c>
      <c r="C160" s="167"/>
      <c r="D160" s="167"/>
      <c r="E160" s="166"/>
      <c r="F160" s="168">
        <f>F161</f>
        <v>0</v>
      </c>
      <c r="G160" s="168">
        <v>0</v>
      </c>
      <c r="H160" s="168" t="e">
        <f>H161</f>
        <v>#REF!</v>
      </c>
    </row>
    <row r="161" spans="1:8" ht="47.25">
      <c r="A161" s="165" t="s">
        <v>313</v>
      </c>
      <c r="B161" s="166" t="s">
        <v>161</v>
      </c>
      <c r="C161" s="167"/>
      <c r="D161" s="167"/>
      <c r="E161" s="166"/>
      <c r="F161" s="168">
        <f>F162</f>
        <v>0</v>
      </c>
      <c r="G161" s="168">
        <v>0</v>
      </c>
      <c r="H161" s="168" t="e">
        <f>H162</f>
        <v>#REF!</v>
      </c>
    </row>
    <row r="162" spans="1:8" ht="47.25">
      <c r="A162" s="165" t="s">
        <v>299</v>
      </c>
      <c r="B162" s="166" t="s">
        <v>161</v>
      </c>
      <c r="C162" s="167" t="s">
        <v>307</v>
      </c>
      <c r="D162" s="167" t="s">
        <v>90</v>
      </c>
      <c r="E162" s="166">
        <v>240</v>
      </c>
      <c r="F162" s="168"/>
      <c r="G162" s="168">
        <v>0</v>
      </c>
      <c r="H162" s="168" t="e">
        <f>#REF!</f>
        <v>#REF!</v>
      </c>
    </row>
    <row r="163" spans="1:8" ht="29.25" customHeight="1">
      <c r="A163" s="165" t="s">
        <v>3</v>
      </c>
      <c r="B163" s="166" t="s">
        <v>162</v>
      </c>
      <c r="C163" s="167"/>
      <c r="D163" s="167"/>
      <c r="E163" s="166"/>
      <c r="F163" s="168">
        <f>F164</f>
        <v>0</v>
      </c>
      <c r="G163" s="168">
        <v>0</v>
      </c>
      <c r="H163" s="168" t="e">
        <f>H164</f>
        <v>#REF!</v>
      </c>
    </row>
    <row r="164" spans="1:8" ht="31.5">
      <c r="A164" s="165" t="s">
        <v>320</v>
      </c>
      <c r="B164" s="166" t="s">
        <v>163</v>
      </c>
      <c r="C164" s="167"/>
      <c r="D164" s="167"/>
      <c r="E164" s="166"/>
      <c r="F164" s="168">
        <f>F165</f>
        <v>0</v>
      </c>
      <c r="G164" s="168">
        <v>0</v>
      </c>
      <c r="H164" s="168" t="e">
        <f>H165</f>
        <v>#REF!</v>
      </c>
    </row>
    <row r="165" spans="1:8" ht="47.25">
      <c r="A165" s="165" t="s">
        <v>299</v>
      </c>
      <c r="B165" s="166" t="s">
        <v>163</v>
      </c>
      <c r="C165" s="167" t="s">
        <v>307</v>
      </c>
      <c r="D165" s="167" t="s">
        <v>90</v>
      </c>
      <c r="E165" s="166">
        <v>240</v>
      </c>
      <c r="F165" s="168"/>
      <c r="G165" s="168">
        <v>0</v>
      </c>
      <c r="H165" s="168" t="e">
        <f>#REF!</f>
        <v>#REF!</v>
      </c>
    </row>
    <row r="166" spans="1:8" ht="47.25">
      <c r="A166" s="165" t="s">
        <v>328</v>
      </c>
      <c r="B166" s="166" t="s">
        <v>164</v>
      </c>
      <c r="C166" s="167"/>
      <c r="D166" s="167"/>
      <c r="E166" s="166"/>
      <c r="F166" s="168">
        <f>F167</f>
        <v>0</v>
      </c>
      <c r="G166" s="168">
        <v>0</v>
      </c>
      <c r="H166" s="168" t="e">
        <f>H167</f>
        <v>#REF!</v>
      </c>
    </row>
    <row r="167" spans="1:8" ht="31.5">
      <c r="A167" s="165" t="s">
        <v>320</v>
      </c>
      <c r="B167" s="166" t="s">
        <v>165</v>
      </c>
      <c r="C167" s="167"/>
      <c r="D167" s="167"/>
      <c r="E167" s="166"/>
      <c r="F167" s="168">
        <f>F168</f>
        <v>0</v>
      </c>
      <c r="G167" s="168">
        <v>0</v>
      </c>
      <c r="H167" s="168" t="e">
        <f>H168</f>
        <v>#REF!</v>
      </c>
    </row>
    <row r="168" spans="1:8" ht="47.25">
      <c r="A168" s="165" t="s">
        <v>299</v>
      </c>
      <c r="B168" s="166" t="s">
        <v>165</v>
      </c>
      <c r="C168" s="167" t="s">
        <v>91</v>
      </c>
      <c r="D168" s="167" t="s">
        <v>90</v>
      </c>
      <c r="E168" s="166">
        <v>240</v>
      </c>
      <c r="F168" s="168"/>
      <c r="G168" s="168">
        <v>0</v>
      </c>
      <c r="H168" s="168" t="e">
        <f>#REF!</f>
        <v>#REF!</v>
      </c>
    </row>
    <row r="169" spans="1:8" ht="63">
      <c r="A169" s="165" t="s">
        <v>433</v>
      </c>
      <c r="B169" s="166" t="s">
        <v>166</v>
      </c>
      <c r="C169" s="167"/>
      <c r="D169" s="167"/>
      <c r="E169" s="166"/>
      <c r="F169" s="168">
        <f>F170</f>
        <v>0</v>
      </c>
      <c r="G169" s="168">
        <v>0</v>
      </c>
      <c r="H169" s="168" t="e">
        <f>H170</f>
        <v>#REF!</v>
      </c>
    </row>
    <row r="170" spans="1:8" ht="94.5">
      <c r="A170" s="165" t="s">
        <v>16</v>
      </c>
      <c r="B170" s="166" t="s">
        <v>167</v>
      </c>
      <c r="C170" s="167"/>
      <c r="D170" s="167"/>
      <c r="E170" s="166"/>
      <c r="F170" s="168">
        <f>F171</f>
        <v>0</v>
      </c>
      <c r="G170" s="168">
        <v>0</v>
      </c>
      <c r="H170" s="168" t="e">
        <f>H171</f>
        <v>#REF!</v>
      </c>
    </row>
    <row r="171" spans="1:8" ht="53.25" customHeight="1">
      <c r="A171" s="165" t="s">
        <v>299</v>
      </c>
      <c r="B171" s="166" t="s">
        <v>167</v>
      </c>
      <c r="C171" s="167" t="s">
        <v>307</v>
      </c>
      <c r="D171" s="167" t="s">
        <v>90</v>
      </c>
      <c r="E171" s="166">
        <v>240</v>
      </c>
      <c r="F171" s="168"/>
      <c r="G171" s="168">
        <v>0</v>
      </c>
      <c r="H171" s="168" t="e">
        <f>#REF!</f>
        <v>#REF!</v>
      </c>
    </row>
    <row r="172" spans="1:8" ht="80.25" customHeight="1">
      <c r="A172" s="156" t="s">
        <v>416</v>
      </c>
      <c r="B172" s="143" t="s">
        <v>422</v>
      </c>
      <c r="C172" s="144"/>
      <c r="D172" s="144"/>
      <c r="E172" s="143"/>
      <c r="F172" s="147" t="e">
        <f>F173+F176+F179+F183+F189</f>
        <v>#REF!</v>
      </c>
      <c r="G172" s="147" t="e">
        <f>G173+G176+G179+G183+G189</f>
        <v>#REF!</v>
      </c>
      <c r="H172" s="147" t="e">
        <f>H173+H176+H179+H183+H189</f>
        <v>#REF!</v>
      </c>
    </row>
    <row r="173" spans="1:8" ht="53.25" customHeight="1">
      <c r="A173" s="8" t="s">
        <v>417</v>
      </c>
      <c r="B173" s="166" t="s">
        <v>423</v>
      </c>
      <c r="C173" s="145"/>
      <c r="D173" s="145"/>
      <c r="E173" s="142"/>
      <c r="F173" s="146" t="e">
        <f aca="true" t="shared" si="9" ref="F173:H174">F174</f>
        <v>#REF!</v>
      </c>
      <c r="G173" s="168" t="e">
        <f t="shared" si="9"/>
        <v>#REF!</v>
      </c>
      <c r="H173" s="168" t="e">
        <f t="shared" si="9"/>
        <v>#REF!</v>
      </c>
    </row>
    <row r="174" spans="1:8" ht="36" customHeight="1">
      <c r="A174" s="8" t="s">
        <v>74</v>
      </c>
      <c r="B174" s="166" t="s">
        <v>424</v>
      </c>
      <c r="C174" s="145"/>
      <c r="D174" s="145"/>
      <c r="E174" s="142"/>
      <c r="F174" s="146" t="e">
        <f t="shared" si="9"/>
        <v>#REF!</v>
      </c>
      <c r="G174" s="168" t="e">
        <f t="shared" si="9"/>
        <v>#REF!</v>
      </c>
      <c r="H174" s="168" t="e">
        <f t="shared" si="9"/>
        <v>#REF!</v>
      </c>
    </row>
    <row r="175" spans="1:8" ht="53.25" customHeight="1">
      <c r="A175" s="8" t="s">
        <v>299</v>
      </c>
      <c r="B175" s="166" t="s">
        <v>424</v>
      </c>
      <c r="C175" s="167" t="s">
        <v>91</v>
      </c>
      <c r="D175" s="167" t="s">
        <v>87</v>
      </c>
      <c r="E175" s="142">
        <v>240</v>
      </c>
      <c r="F175" s="146" t="e">
        <f>'приложение 5'!#REF!</f>
        <v>#REF!</v>
      </c>
      <c r="G175" s="168" t="e">
        <f>#REF!</f>
        <v>#REF!</v>
      </c>
      <c r="H175" s="168" t="e">
        <f>#REF!</f>
        <v>#REF!</v>
      </c>
    </row>
    <row r="176" spans="1:8" ht="53.25" customHeight="1">
      <c r="A176" s="8" t="s">
        <v>418</v>
      </c>
      <c r="B176" s="166" t="s">
        <v>425</v>
      </c>
      <c r="C176" s="145"/>
      <c r="D176" s="145"/>
      <c r="E176" s="142"/>
      <c r="F176" s="146" t="e">
        <f aca="true" t="shared" si="10" ref="F176:H177">F177</f>
        <v>#REF!</v>
      </c>
      <c r="G176" s="168" t="e">
        <f t="shared" si="10"/>
        <v>#REF!</v>
      </c>
      <c r="H176" s="168" t="e">
        <f t="shared" si="10"/>
        <v>#REF!</v>
      </c>
    </row>
    <row r="177" spans="1:8" ht="53.25" customHeight="1">
      <c r="A177" s="8" t="s">
        <v>419</v>
      </c>
      <c r="B177" s="166" t="s">
        <v>426</v>
      </c>
      <c r="C177" s="145"/>
      <c r="D177" s="145"/>
      <c r="E177" s="142"/>
      <c r="F177" s="146" t="e">
        <f t="shared" si="10"/>
        <v>#REF!</v>
      </c>
      <c r="G177" s="168" t="e">
        <f t="shared" si="10"/>
        <v>#REF!</v>
      </c>
      <c r="H177" s="168" t="e">
        <f t="shared" si="10"/>
        <v>#REF!</v>
      </c>
    </row>
    <row r="178" spans="1:8" ht="53.25" customHeight="1">
      <c r="A178" s="8" t="s">
        <v>299</v>
      </c>
      <c r="B178" s="166" t="s">
        <v>426</v>
      </c>
      <c r="C178" s="167" t="s">
        <v>91</v>
      </c>
      <c r="D178" s="167" t="s">
        <v>87</v>
      </c>
      <c r="E178" s="142">
        <v>240</v>
      </c>
      <c r="F178" s="146" t="e">
        <f>'приложение 5'!#REF!</f>
        <v>#REF!</v>
      </c>
      <c r="G178" s="168" t="e">
        <f>#REF!</f>
        <v>#REF!</v>
      </c>
      <c r="H178" s="168" t="e">
        <f>#REF!</f>
        <v>#REF!</v>
      </c>
    </row>
    <row r="179" spans="1:8" ht="53.25" customHeight="1">
      <c r="A179" s="8" t="s">
        <v>420</v>
      </c>
      <c r="B179" s="166" t="s">
        <v>427</v>
      </c>
      <c r="C179" s="145"/>
      <c r="D179" s="145"/>
      <c r="E179" s="142"/>
      <c r="F179" s="146" t="e">
        <f>F180</f>
        <v>#REF!</v>
      </c>
      <c r="G179" s="168" t="e">
        <f>G180</f>
        <v>#REF!</v>
      </c>
      <c r="H179" s="168" t="e">
        <f>H180</f>
        <v>#REF!</v>
      </c>
    </row>
    <row r="180" spans="1:8" ht="53.25" customHeight="1">
      <c r="A180" s="8" t="s">
        <v>20</v>
      </c>
      <c r="B180" s="166" t="s">
        <v>428</v>
      </c>
      <c r="C180" s="145"/>
      <c r="D180" s="145"/>
      <c r="E180" s="142"/>
      <c r="F180" s="146" t="e">
        <f>F181+F182</f>
        <v>#REF!</v>
      </c>
      <c r="G180" s="168" t="e">
        <f>G181+G182</f>
        <v>#REF!</v>
      </c>
      <c r="H180" s="168" t="e">
        <f>H181+H182</f>
        <v>#REF!</v>
      </c>
    </row>
    <row r="181" spans="1:8" ht="53.25" customHeight="1">
      <c r="A181" s="8" t="s">
        <v>299</v>
      </c>
      <c r="B181" s="166" t="s">
        <v>428</v>
      </c>
      <c r="C181" s="167" t="s">
        <v>91</v>
      </c>
      <c r="D181" s="167" t="s">
        <v>87</v>
      </c>
      <c r="E181" s="142">
        <v>240</v>
      </c>
      <c r="F181" s="146" t="e">
        <f>'приложение 5'!#REF!</f>
        <v>#REF!</v>
      </c>
      <c r="G181" s="168" t="e">
        <f>#REF!</f>
        <v>#REF!</v>
      </c>
      <c r="H181" s="168" t="e">
        <f>#REF!</f>
        <v>#REF!</v>
      </c>
    </row>
    <row r="182" spans="1:8" ht="24" customHeight="1">
      <c r="A182" s="2" t="s">
        <v>300</v>
      </c>
      <c r="B182" s="166" t="s">
        <v>428</v>
      </c>
      <c r="C182" s="167" t="s">
        <v>91</v>
      </c>
      <c r="D182" s="167" t="s">
        <v>87</v>
      </c>
      <c r="E182" s="142">
        <v>850</v>
      </c>
      <c r="F182" s="146" t="e">
        <f>'приложение 5'!#REF!</f>
        <v>#REF!</v>
      </c>
      <c r="G182" s="168" t="e">
        <f>#REF!</f>
        <v>#REF!</v>
      </c>
      <c r="H182" s="168" t="e">
        <f>#REF!</f>
        <v>#REF!</v>
      </c>
    </row>
    <row r="183" spans="1:8" ht="53.25" customHeight="1">
      <c r="A183" s="8" t="s">
        <v>421</v>
      </c>
      <c r="B183" s="166" t="s">
        <v>429</v>
      </c>
      <c r="C183" s="145"/>
      <c r="D183" s="145"/>
      <c r="E183" s="142"/>
      <c r="F183" s="146" t="e">
        <f>F184+#REF!+#REF!+#REF!</f>
        <v>#REF!</v>
      </c>
      <c r="G183" s="168" t="e">
        <f>G184</f>
        <v>#REF!</v>
      </c>
      <c r="H183" s="168" t="e">
        <f>H184</f>
        <v>#REF!</v>
      </c>
    </row>
    <row r="184" spans="1:8" ht="41.25" customHeight="1">
      <c r="A184" s="8" t="s">
        <v>60</v>
      </c>
      <c r="B184" s="166" t="s">
        <v>430</v>
      </c>
      <c r="C184" s="145"/>
      <c r="D184" s="145"/>
      <c r="E184" s="142"/>
      <c r="F184" s="146" t="e">
        <f>F185+F186+F187+F188</f>
        <v>#REF!</v>
      </c>
      <c r="G184" s="168" t="e">
        <f>G185+G186+G187+G188</f>
        <v>#REF!</v>
      </c>
      <c r="H184" s="168" t="e">
        <f>H185+H186+H187+H188</f>
        <v>#REF!</v>
      </c>
    </row>
    <row r="185" spans="1:8" ht="46.5" customHeight="1">
      <c r="A185" s="8" t="s">
        <v>204</v>
      </c>
      <c r="B185" s="166" t="s">
        <v>430</v>
      </c>
      <c r="C185" s="167" t="s">
        <v>91</v>
      </c>
      <c r="D185" s="167" t="s">
        <v>87</v>
      </c>
      <c r="E185" s="142">
        <v>120</v>
      </c>
      <c r="F185" s="146" t="e">
        <f>'приложение 5'!#REF!</f>
        <v>#REF!</v>
      </c>
      <c r="G185" s="168" t="e">
        <f>#REF!</f>
        <v>#REF!</v>
      </c>
      <c r="H185" s="168" t="e">
        <f>#REF!</f>
        <v>#REF!</v>
      </c>
    </row>
    <row r="186" spans="1:8" ht="53.25" customHeight="1">
      <c r="A186" s="8" t="s">
        <v>299</v>
      </c>
      <c r="B186" s="166" t="s">
        <v>430</v>
      </c>
      <c r="C186" s="167" t="s">
        <v>91</v>
      </c>
      <c r="D186" s="167" t="s">
        <v>87</v>
      </c>
      <c r="E186" s="142">
        <v>240</v>
      </c>
      <c r="F186" s="146" t="e">
        <f>'приложение 5'!#REF!</f>
        <v>#REF!</v>
      </c>
      <c r="G186" s="168" t="e">
        <f>#REF!</f>
        <v>#REF!</v>
      </c>
      <c r="H186" s="168" t="e">
        <f>#REF!</f>
        <v>#REF!</v>
      </c>
    </row>
    <row r="187" spans="1:8" ht="23.25" customHeight="1">
      <c r="A187" s="2" t="s">
        <v>306</v>
      </c>
      <c r="B187" s="166" t="s">
        <v>430</v>
      </c>
      <c r="C187" s="167" t="s">
        <v>91</v>
      </c>
      <c r="D187" s="167" t="s">
        <v>87</v>
      </c>
      <c r="E187" s="142">
        <v>830</v>
      </c>
      <c r="F187" s="146" t="e">
        <f>'приложение 5'!#REF!</f>
        <v>#REF!</v>
      </c>
      <c r="G187" s="168" t="e">
        <f>#REF!</f>
        <v>#REF!</v>
      </c>
      <c r="H187" s="168" t="e">
        <f>#REF!</f>
        <v>#REF!</v>
      </c>
    </row>
    <row r="188" spans="1:8" ht="22.5" customHeight="1">
      <c r="A188" s="2" t="s">
        <v>300</v>
      </c>
      <c r="B188" s="166" t="s">
        <v>430</v>
      </c>
      <c r="C188" s="167" t="s">
        <v>91</v>
      </c>
      <c r="D188" s="167" t="s">
        <v>87</v>
      </c>
      <c r="E188" s="142">
        <v>850</v>
      </c>
      <c r="F188" s="146" t="e">
        <f>'приложение 5'!#REF!</f>
        <v>#REF!</v>
      </c>
      <c r="G188" s="168" t="e">
        <f>#REF!</f>
        <v>#REF!</v>
      </c>
      <c r="H188" s="168" t="e">
        <f>#REF!</f>
        <v>#REF!</v>
      </c>
    </row>
    <row r="189" spans="1:8" ht="53.25" customHeight="1">
      <c r="A189" s="8" t="s">
        <v>415</v>
      </c>
      <c r="B189" s="166" t="s">
        <v>432</v>
      </c>
      <c r="C189" s="167"/>
      <c r="D189" s="167"/>
      <c r="E189" s="142"/>
      <c r="F189" s="146" t="e">
        <f>F190</f>
        <v>#REF!</v>
      </c>
      <c r="G189" s="168" t="e">
        <f>G190</f>
        <v>#REF!</v>
      </c>
      <c r="H189" s="168" t="e">
        <f>H190</f>
        <v>#REF!</v>
      </c>
    </row>
    <row r="190" spans="1:8" ht="53.25" customHeight="1">
      <c r="A190" s="8" t="s">
        <v>32</v>
      </c>
      <c r="B190" s="166" t="s">
        <v>431</v>
      </c>
      <c r="C190" s="167"/>
      <c r="D190" s="167"/>
      <c r="E190" s="142"/>
      <c r="F190" s="146" t="e">
        <f>F191+F192</f>
        <v>#REF!</v>
      </c>
      <c r="G190" s="168" t="e">
        <f>G191+G192</f>
        <v>#REF!</v>
      </c>
      <c r="H190" s="168" t="e">
        <f>H191+H192</f>
        <v>#REF!</v>
      </c>
    </row>
    <row r="191" spans="1:8" ht="53.25" customHeight="1">
      <c r="A191" s="8" t="s">
        <v>299</v>
      </c>
      <c r="B191" s="166" t="s">
        <v>431</v>
      </c>
      <c r="C191" s="167" t="s">
        <v>91</v>
      </c>
      <c r="D191" s="167" t="s">
        <v>87</v>
      </c>
      <c r="E191" s="142">
        <v>240</v>
      </c>
      <c r="F191" s="146" t="e">
        <f>'приложение 5'!#REF!</f>
        <v>#REF!</v>
      </c>
      <c r="G191" s="168" t="e">
        <f>#REF!</f>
        <v>#REF!</v>
      </c>
      <c r="H191" s="168" t="e">
        <f>#REF!</f>
        <v>#REF!</v>
      </c>
    </row>
    <row r="192" spans="1:8" ht="53.25" customHeight="1">
      <c r="A192" s="8" t="s">
        <v>304</v>
      </c>
      <c r="B192" s="166" t="s">
        <v>431</v>
      </c>
      <c r="C192" s="167" t="s">
        <v>91</v>
      </c>
      <c r="D192" s="167" t="s">
        <v>89</v>
      </c>
      <c r="E192" s="142">
        <v>320</v>
      </c>
      <c r="F192" s="146" t="e">
        <f>'приложение 5'!#REF!</f>
        <v>#REF!</v>
      </c>
      <c r="G192" s="168" t="e">
        <f>#REF!</f>
        <v>#REF!</v>
      </c>
      <c r="H192" s="168" t="e">
        <f>#REF!</f>
        <v>#REF!</v>
      </c>
    </row>
    <row r="193" spans="1:8" s="152" customFormat="1" ht="14.25">
      <c r="A193" s="492" t="s">
        <v>169</v>
      </c>
      <c r="B193" s="493"/>
      <c r="C193" s="493"/>
      <c r="D193" s="493"/>
      <c r="E193" s="494"/>
      <c r="F193" s="158" t="e">
        <f>#REF!+F17+#REF!+#REF!+#REF!+#REF!+#REF!+#REF!+#REF!+F34+F40+F67+F75+F97+F142+F155+F159+F122</f>
        <v>#REF!</v>
      </c>
      <c r="G193" s="158" t="e">
        <f>G17+G34+G40+G67+G75+G97+G142+G155+G159+G122+G30+G87+G172</f>
        <v>#REF!</v>
      </c>
      <c r="H193" s="158" t="e">
        <f>H17+H34+H40+H67+H75+H97+H142+H155+H159+H122+H30+H87+H172</f>
        <v>#REF!</v>
      </c>
    </row>
    <row r="194" ht="15">
      <c r="H194" s="177" t="s">
        <v>202</v>
      </c>
    </row>
  </sheetData>
  <sheetProtection/>
  <mergeCells count="18">
    <mergeCell ref="B1:H1"/>
    <mergeCell ref="B2:H2"/>
    <mergeCell ref="B3:H3"/>
    <mergeCell ref="B4:E4"/>
    <mergeCell ref="A193:E193"/>
    <mergeCell ref="A14:A15"/>
    <mergeCell ref="B14:B15"/>
    <mergeCell ref="C14:C15"/>
    <mergeCell ref="D14:D15"/>
    <mergeCell ref="E14:E15"/>
    <mergeCell ref="B5:I5"/>
    <mergeCell ref="F14:H14"/>
    <mergeCell ref="A11:H11"/>
    <mergeCell ref="A10:H10"/>
    <mergeCell ref="A12:H12"/>
    <mergeCell ref="G13:H13"/>
    <mergeCell ref="B6:I6"/>
    <mergeCell ref="B7:I7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2024-06-27T06:50:52Z</cp:lastPrinted>
  <dcterms:created xsi:type="dcterms:W3CDTF">2012-10-30T08:30:04Z</dcterms:created>
  <dcterms:modified xsi:type="dcterms:W3CDTF">2024-06-27T06:54:16Z</dcterms:modified>
  <cp:category/>
  <cp:version/>
  <cp:contentType/>
  <cp:contentStatus/>
</cp:coreProperties>
</file>